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emf" ContentType="image/x-emf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 userName="Admin" reservationPassword="C1A7"/>
  <workbookPr defaultThemeVersion="124226"/>
  <bookViews>
    <workbookView xWindow="240" yWindow="120" windowWidth="15480" windowHeight="7512"/>
  </bookViews>
  <sheets>
    <sheet name="FOUTEN" sheetId="7" r:id="rId1"/>
    <sheet name="FVP" sheetId="4" r:id="rId2"/>
    <sheet name="LOG" sheetId="6" r:id="rId3"/>
    <sheet name="STAT" sheetId="5" r:id="rId4"/>
    <sheet name="LRL" sheetId="3" r:id="rId5"/>
    <sheet name="LM" sheetId="2" r:id="rId6"/>
    <sheet name="ITE" sheetId="8" r:id="rId7"/>
    <sheet name="ITE FV" sheetId="10" r:id="rId8"/>
    <sheet name="OPL" sheetId="12" r:id="rId9"/>
    <sheet name="EF" sheetId="11" r:id="rId10"/>
    <sheet name="SITES" sheetId="9" r:id="rId11"/>
  </sheets>
  <definedNames>
    <definedName name="solver_adj" localSheetId="9" hidden="1">EF!$D$109</definedName>
    <definedName name="solver_adj" localSheetId="8" hidden="1">OPL!$D$15</definedName>
    <definedName name="solver_cvg" localSheetId="9" hidden="1">0.0001</definedName>
    <definedName name="solver_cvg" localSheetId="8" hidden="1">0.0001</definedName>
    <definedName name="solver_drv" localSheetId="9" hidden="1">1</definedName>
    <definedName name="solver_drv" localSheetId="8" hidden="1">1</definedName>
    <definedName name="solver_est" localSheetId="9" hidden="1">1</definedName>
    <definedName name="solver_est" localSheetId="8" hidden="1">1</definedName>
    <definedName name="solver_itr" localSheetId="9" hidden="1">100</definedName>
    <definedName name="solver_itr" localSheetId="8" hidden="1">100</definedName>
    <definedName name="solver_lhs1" localSheetId="8" hidden="1">OPL!$D$30</definedName>
    <definedName name="solver_lin" localSheetId="9" hidden="1">2</definedName>
    <definedName name="solver_lin" localSheetId="8" hidden="1">2</definedName>
    <definedName name="solver_neg" localSheetId="9" hidden="1">2</definedName>
    <definedName name="solver_neg" localSheetId="8" hidden="1">2</definedName>
    <definedName name="solver_num" localSheetId="9" hidden="1">0</definedName>
    <definedName name="solver_num" localSheetId="8" hidden="1">0</definedName>
    <definedName name="solver_nwt" localSheetId="9" hidden="1">1</definedName>
    <definedName name="solver_nwt" localSheetId="8" hidden="1">1</definedName>
    <definedName name="solver_opt" localSheetId="9" hidden="1">EF!$E$125</definedName>
    <definedName name="solver_opt" localSheetId="8" hidden="1">OPL!$D$31</definedName>
    <definedName name="solver_pre" localSheetId="9" hidden="1">0.000001</definedName>
    <definedName name="solver_pre" localSheetId="8" hidden="1">0.000001</definedName>
    <definedName name="solver_rel1" localSheetId="8" hidden="1">2</definedName>
    <definedName name="solver_rhs1" localSheetId="8" hidden="1">0</definedName>
    <definedName name="solver_scl" localSheetId="9" hidden="1">2</definedName>
    <definedName name="solver_scl" localSheetId="8" hidden="1">2</definedName>
    <definedName name="solver_sho" localSheetId="9" hidden="1">2</definedName>
    <definedName name="solver_sho" localSheetId="8" hidden="1">2</definedName>
    <definedName name="solver_tim" localSheetId="9" hidden="1">100</definedName>
    <definedName name="solver_tim" localSheetId="8" hidden="1">100</definedName>
    <definedName name="solver_tol" localSheetId="9" hidden="1">0.05</definedName>
    <definedName name="solver_tol" localSheetId="8" hidden="1">0.05</definedName>
    <definedName name="solver_typ" localSheetId="9" hidden="1">2</definedName>
    <definedName name="solver_typ" localSheetId="8" hidden="1">2</definedName>
    <definedName name="solver_val" localSheetId="9" hidden="1">0</definedName>
    <definedName name="solver_val" localSheetId="8" hidden="1">0</definedName>
  </definedNames>
  <calcPr calcId="125725"/>
</workbook>
</file>

<file path=xl/calcChain.xml><?xml version="1.0" encoding="utf-8"?>
<calcChain xmlns="http://schemas.openxmlformats.org/spreadsheetml/2006/main">
  <c r="AH29" i="11"/>
  <c r="AH30" s="1"/>
  <c r="AH31" s="1"/>
  <c r="AH32" s="1"/>
  <c r="AH33" s="1"/>
  <c r="AH34" s="1"/>
  <c r="AH35" s="1"/>
  <c r="AH36" s="1"/>
  <c r="AH37" s="1"/>
  <c r="AH38" s="1"/>
  <c r="AH39" s="1"/>
  <c r="AH40" s="1"/>
  <c r="AH41" s="1"/>
  <c r="AH42" s="1"/>
  <c r="AH43" s="1"/>
  <c r="AH44" s="1"/>
  <c r="C122"/>
  <c r="C121"/>
  <c r="C120"/>
  <c r="C119"/>
  <c r="C118"/>
  <c r="C117"/>
  <c r="C116"/>
  <c r="C115"/>
  <c r="C114"/>
  <c r="C113"/>
  <c r="D122"/>
  <c r="D121"/>
  <c r="D120"/>
  <c r="D119"/>
  <c r="D118"/>
  <c r="D117"/>
  <c r="D116"/>
  <c r="D115"/>
  <c r="D114"/>
  <c r="D113"/>
  <c r="E87"/>
  <c r="G87" s="1"/>
  <c r="E99"/>
  <c r="F99" s="1"/>
  <c r="E98"/>
  <c r="F98" s="1"/>
  <c r="E97"/>
  <c r="F97" s="1"/>
  <c r="E96"/>
  <c r="F96" s="1"/>
  <c r="E95"/>
  <c r="F95" s="1"/>
  <c r="E94"/>
  <c r="F94" s="1"/>
  <c r="E93"/>
  <c r="F93" s="1"/>
  <c r="E92"/>
  <c r="F92" s="1"/>
  <c r="E91"/>
  <c r="F91" s="1"/>
  <c r="E90"/>
  <c r="F90" s="1"/>
  <c r="C99"/>
  <c r="C98"/>
  <c r="C97"/>
  <c r="C96"/>
  <c r="C95"/>
  <c r="C94"/>
  <c r="C93"/>
  <c r="C92"/>
  <c r="C91"/>
  <c r="C90"/>
  <c r="D99"/>
  <c r="D98"/>
  <c r="D97"/>
  <c r="D96"/>
  <c r="D95"/>
  <c r="D94"/>
  <c r="D93"/>
  <c r="D92"/>
  <c r="D91"/>
  <c r="D90"/>
  <c r="D68" i="12"/>
  <c r="C68"/>
  <c r="D67"/>
  <c r="C67"/>
  <c r="D66"/>
  <c r="C66"/>
  <c r="D65"/>
  <c r="C65"/>
  <c r="D64"/>
  <c r="C64"/>
  <c r="E68"/>
  <c r="F68" s="1"/>
  <c r="E67"/>
  <c r="F67" s="1"/>
  <c r="E66"/>
  <c r="F66" s="1"/>
  <c r="E65"/>
  <c r="F65" s="1"/>
  <c r="E64"/>
  <c r="F64" s="1"/>
  <c r="F71" s="1"/>
  <c r="F27" i="10"/>
  <c r="C28" i="12"/>
  <c r="C27"/>
  <c r="C26"/>
  <c r="C25"/>
  <c r="C24"/>
  <c r="C23"/>
  <c r="C22"/>
  <c r="C21"/>
  <c r="C20"/>
  <c r="C19"/>
  <c r="D19" s="1"/>
  <c r="L82" i="6"/>
  <c r="L81"/>
  <c r="L80"/>
  <c r="L79"/>
  <c r="L78"/>
  <c r="J99"/>
  <c r="M99"/>
  <c r="K82"/>
  <c r="K81"/>
  <c r="K80"/>
  <c r="K79"/>
  <c r="K78"/>
  <c r="D99"/>
  <c r="E82"/>
  <c r="D82"/>
  <c r="E81"/>
  <c r="D81"/>
  <c r="E80"/>
  <c r="D80"/>
  <c r="E79"/>
  <c r="D79"/>
  <c r="E78"/>
  <c r="D78"/>
  <c r="E77"/>
  <c r="D77"/>
  <c r="J26"/>
  <c r="J25"/>
  <c r="J20"/>
  <c r="J19"/>
  <c r="B76" i="11"/>
  <c r="B75"/>
  <c r="AF9"/>
  <c r="U5" s="1"/>
  <c r="AB8"/>
  <c r="AA8"/>
  <c r="Z8"/>
  <c r="Y8"/>
  <c r="X8"/>
  <c r="W8"/>
  <c r="V8"/>
  <c r="U8"/>
  <c r="AH7"/>
  <c r="AH8" s="1"/>
  <c r="AB7"/>
  <c r="AA7"/>
  <c r="Z7"/>
  <c r="Y7"/>
  <c r="X7"/>
  <c r="W7"/>
  <c r="V7"/>
  <c r="U7"/>
  <c r="AJ6"/>
  <c r="AI6"/>
  <c r="AF4"/>
  <c r="AE4" s="1"/>
  <c r="AC3" i="4"/>
  <c r="AC8"/>
  <c r="AC10" s="1"/>
  <c r="C96" i="10"/>
  <c r="H101"/>
  <c r="F101"/>
  <c r="C101"/>
  <c r="H100"/>
  <c r="F100"/>
  <c r="C100"/>
  <c r="H99"/>
  <c r="F99"/>
  <c r="C99"/>
  <c r="H98"/>
  <c r="F98"/>
  <c r="C98"/>
  <c r="H97"/>
  <c r="F97"/>
  <c r="C97"/>
  <c r="H96"/>
  <c r="F96"/>
  <c r="C85"/>
  <c r="C84"/>
  <c r="C83"/>
  <c r="C82"/>
  <c r="C81"/>
  <c r="C80"/>
  <c r="C88"/>
  <c r="Q78"/>
  <c r="R78" s="1"/>
  <c r="S78" s="1"/>
  <c r="T78" s="1"/>
  <c r="U78" s="1"/>
  <c r="V78" s="1"/>
  <c r="J78"/>
  <c r="K78" s="1"/>
  <c r="L78" s="1"/>
  <c r="M78" s="1"/>
  <c r="N78" s="1"/>
  <c r="O78" s="1"/>
  <c r="D78"/>
  <c r="E78" s="1"/>
  <c r="F78" s="1"/>
  <c r="G78" s="1"/>
  <c r="H78" s="1"/>
  <c r="Q77"/>
  <c r="R77" s="1"/>
  <c r="S77" s="1"/>
  <c r="T77" s="1"/>
  <c r="U77" s="1"/>
  <c r="V77" s="1"/>
  <c r="J77"/>
  <c r="K77" s="1"/>
  <c r="L77" s="1"/>
  <c r="M77" s="1"/>
  <c r="N77" s="1"/>
  <c r="O77" s="1"/>
  <c r="D77"/>
  <c r="E77" s="1"/>
  <c r="F77" s="1"/>
  <c r="G77" s="1"/>
  <c r="H77" s="1"/>
  <c r="Q76"/>
  <c r="R76" s="1"/>
  <c r="S76" s="1"/>
  <c r="T76" s="1"/>
  <c r="U76" s="1"/>
  <c r="V76" s="1"/>
  <c r="J76"/>
  <c r="K76" s="1"/>
  <c r="L76" s="1"/>
  <c r="M76" s="1"/>
  <c r="N76" s="1"/>
  <c r="O76" s="1"/>
  <c r="D76"/>
  <c r="E76" s="1"/>
  <c r="F76" s="1"/>
  <c r="G76" s="1"/>
  <c r="H76" s="1"/>
  <c r="Q55"/>
  <c r="C64"/>
  <c r="C63"/>
  <c r="C62"/>
  <c r="C61"/>
  <c r="C60"/>
  <c r="C59"/>
  <c r="C67"/>
  <c r="C66"/>
  <c r="Q57"/>
  <c r="R57" s="1"/>
  <c r="S57" s="1"/>
  <c r="T57" s="1"/>
  <c r="U57" s="1"/>
  <c r="V57" s="1"/>
  <c r="J57"/>
  <c r="K57" s="1"/>
  <c r="L57" s="1"/>
  <c r="M57" s="1"/>
  <c r="N57" s="1"/>
  <c r="O57" s="1"/>
  <c r="D57"/>
  <c r="E57" s="1"/>
  <c r="F57" s="1"/>
  <c r="G57" s="1"/>
  <c r="H57" s="1"/>
  <c r="Q56"/>
  <c r="R56" s="1"/>
  <c r="S56" s="1"/>
  <c r="T56" s="1"/>
  <c r="U56" s="1"/>
  <c r="V56" s="1"/>
  <c r="J56"/>
  <c r="K56" s="1"/>
  <c r="L56" s="1"/>
  <c r="M56" s="1"/>
  <c r="N56" s="1"/>
  <c r="O56" s="1"/>
  <c r="D56"/>
  <c r="E56" s="1"/>
  <c r="F56" s="1"/>
  <c r="G56" s="1"/>
  <c r="H56" s="1"/>
  <c r="R55"/>
  <c r="S55" s="1"/>
  <c r="T55" s="1"/>
  <c r="U55" s="1"/>
  <c r="V55" s="1"/>
  <c r="V64" s="1"/>
  <c r="J55"/>
  <c r="K55" s="1"/>
  <c r="L55" s="1"/>
  <c r="M55" s="1"/>
  <c r="N55" s="1"/>
  <c r="O55" s="1"/>
  <c r="D55"/>
  <c r="E55" s="1"/>
  <c r="F55" s="1"/>
  <c r="G55" s="1"/>
  <c r="H55" s="1"/>
  <c r="Q38"/>
  <c r="Q37"/>
  <c r="Q36"/>
  <c r="J38"/>
  <c r="J37"/>
  <c r="J36"/>
  <c r="C11"/>
  <c r="K36"/>
  <c r="L36"/>
  <c r="M36"/>
  <c r="K37"/>
  <c r="L37"/>
  <c r="M37"/>
  <c r="K38"/>
  <c r="L38"/>
  <c r="M38"/>
  <c r="J40"/>
  <c r="K40"/>
  <c r="L40"/>
  <c r="M40"/>
  <c r="J41"/>
  <c r="K41"/>
  <c r="L41"/>
  <c r="M41"/>
  <c r="J42"/>
  <c r="K42"/>
  <c r="L42"/>
  <c r="M42"/>
  <c r="J43"/>
  <c r="K43"/>
  <c r="L43"/>
  <c r="M43"/>
  <c r="J44"/>
  <c r="K44"/>
  <c r="L44"/>
  <c r="M44"/>
  <c r="J45"/>
  <c r="K45"/>
  <c r="L45"/>
  <c r="M45"/>
  <c r="J47"/>
  <c r="K47"/>
  <c r="L47"/>
  <c r="M47"/>
  <c r="J48"/>
  <c r="K48"/>
  <c r="L48"/>
  <c r="M48"/>
  <c r="E33" i="3"/>
  <c r="E24"/>
  <c r="E21"/>
  <c r="E36"/>
  <c r="E31"/>
  <c r="E28"/>
  <c r="E27"/>
  <c r="E20"/>
  <c r="D11" i="10"/>
  <c r="E11" s="1"/>
  <c r="F11" s="1"/>
  <c r="G11" s="1"/>
  <c r="H11" s="1"/>
  <c r="C25"/>
  <c r="C24"/>
  <c r="C23"/>
  <c r="C22"/>
  <c r="C21"/>
  <c r="C20"/>
  <c r="C19"/>
  <c r="C18"/>
  <c r="C17"/>
  <c r="C16"/>
  <c r="C27" s="1"/>
  <c r="D12"/>
  <c r="E12" s="1"/>
  <c r="F12" s="1"/>
  <c r="G12" s="1"/>
  <c r="H12" s="1"/>
  <c r="N37"/>
  <c r="O37" s="1"/>
  <c r="R38"/>
  <c r="S38" s="1"/>
  <c r="T38" s="1"/>
  <c r="U38" s="1"/>
  <c r="V38" s="1"/>
  <c r="R37"/>
  <c r="S37" s="1"/>
  <c r="T37" s="1"/>
  <c r="U37" s="1"/>
  <c r="V37" s="1"/>
  <c r="R36"/>
  <c r="S36" s="1"/>
  <c r="T36" s="1"/>
  <c r="U36" s="1"/>
  <c r="V36" s="1"/>
  <c r="D38"/>
  <c r="E38" s="1"/>
  <c r="F38" s="1"/>
  <c r="G38" s="1"/>
  <c r="H38" s="1"/>
  <c r="D37"/>
  <c r="E37" s="1"/>
  <c r="F37" s="1"/>
  <c r="G37" s="1"/>
  <c r="H37" s="1"/>
  <c r="N36"/>
  <c r="O36" s="1"/>
  <c r="D36"/>
  <c r="E36" s="1"/>
  <c r="F36" s="1"/>
  <c r="G36" s="1"/>
  <c r="H36" s="1"/>
  <c r="Q45"/>
  <c r="Q44"/>
  <c r="Q43"/>
  <c r="Q42"/>
  <c r="Q41"/>
  <c r="Q40"/>
  <c r="Q48" s="1"/>
  <c r="R45"/>
  <c r="N38"/>
  <c r="O38" s="1"/>
  <c r="C45"/>
  <c r="C44"/>
  <c r="C43"/>
  <c r="C42"/>
  <c r="C41"/>
  <c r="C40"/>
  <c r="D45"/>
  <c r="C48"/>
  <c r="C47"/>
  <c r="A52" i="8"/>
  <c r="A51"/>
  <c r="A50"/>
  <c r="A49"/>
  <c r="A48"/>
  <c r="A47"/>
  <c r="H45"/>
  <c r="H44"/>
  <c r="H43"/>
  <c r="H42"/>
  <c r="H41"/>
  <c r="H40"/>
  <c r="F45"/>
  <c r="G45"/>
  <c r="G44"/>
  <c r="F44"/>
  <c r="G43"/>
  <c r="F43"/>
  <c r="G42"/>
  <c r="F42"/>
  <c r="G41"/>
  <c r="F41"/>
  <c r="G40"/>
  <c r="F40"/>
  <c r="G52"/>
  <c r="F52"/>
  <c r="E45"/>
  <c r="E52" s="1"/>
  <c r="D45"/>
  <c r="D52" s="1"/>
  <c r="C45"/>
  <c r="C52" s="1"/>
  <c r="G51"/>
  <c r="F51"/>
  <c r="E44"/>
  <c r="E51" s="1"/>
  <c r="D44"/>
  <c r="D51" s="1"/>
  <c r="C44"/>
  <c r="C51" s="1"/>
  <c r="G50"/>
  <c r="F50"/>
  <c r="E43"/>
  <c r="E50" s="1"/>
  <c r="D43"/>
  <c r="D50" s="1"/>
  <c r="C43"/>
  <c r="C50" s="1"/>
  <c r="G49"/>
  <c r="F49"/>
  <c r="E42"/>
  <c r="E49" s="1"/>
  <c r="D42"/>
  <c r="D49" s="1"/>
  <c r="C42"/>
  <c r="C49" s="1"/>
  <c r="G48"/>
  <c r="F167" s="1"/>
  <c r="F48"/>
  <c r="E167" s="1"/>
  <c r="E41"/>
  <c r="E48" s="1"/>
  <c r="D167" s="1"/>
  <c r="D41"/>
  <c r="D48" s="1"/>
  <c r="C167" s="1"/>
  <c r="C41"/>
  <c r="C48" s="1"/>
  <c r="B167" s="1"/>
  <c r="F140"/>
  <c r="E140"/>
  <c r="E40"/>
  <c r="D140" s="1"/>
  <c r="D40"/>
  <c r="C140" s="1"/>
  <c r="C40"/>
  <c r="B140" s="1"/>
  <c r="H195" i="5"/>
  <c r="D192"/>
  <c r="D180"/>
  <c r="D169"/>
  <c r="B164"/>
  <c r="B165" s="1"/>
  <c r="A164"/>
  <c r="A165" s="1"/>
  <c r="A166" s="1"/>
  <c r="A167" s="1"/>
  <c r="A168" s="1"/>
  <c r="E163"/>
  <c r="E164" s="1"/>
  <c r="C163"/>
  <c r="C174" s="1"/>
  <c r="G68"/>
  <c r="G67"/>
  <c r="E38" i="3"/>
  <c r="E30"/>
  <c r="E32" s="1"/>
  <c r="E29"/>
  <c r="E23"/>
  <c r="E22"/>
  <c r="E37"/>
  <c r="X1"/>
  <c r="X3"/>
  <c r="Y1"/>
  <c r="Y3" s="1"/>
  <c r="D30" i="5"/>
  <c r="D29"/>
  <c r="G25" s="1"/>
  <c r="B26"/>
  <c r="B27" s="1"/>
  <c r="X4" i="4"/>
  <c r="AB7"/>
  <c r="AA7"/>
  <c r="Z7"/>
  <c r="Y7"/>
  <c r="X7"/>
  <c r="W7"/>
  <c r="V7"/>
  <c r="U7"/>
  <c r="AB6"/>
  <c r="AA6"/>
  <c r="Z6"/>
  <c r="Y6"/>
  <c r="X6"/>
  <c r="W6"/>
  <c r="V6"/>
  <c r="U6"/>
  <c r="AB4"/>
  <c r="AA4"/>
  <c r="Z4"/>
  <c r="Y4"/>
  <c r="W4"/>
  <c r="V4"/>
  <c r="AG16" i="6"/>
  <c r="AF16"/>
  <c r="AE16"/>
  <c r="AD16"/>
  <c r="Z18"/>
  <c r="Y18"/>
  <c r="AC17"/>
  <c r="AC18" s="1"/>
  <c r="AG18" s="1"/>
  <c r="Z17"/>
  <c r="Y17"/>
  <c r="Z15"/>
  <c r="Y15"/>
  <c r="AG5" i="4"/>
  <c r="U4"/>
  <c r="AE6"/>
  <c r="AE7" s="1"/>
  <c r="AG7" s="1"/>
  <c r="AF5"/>
  <c r="E84" i="2"/>
  <c r="E83"/>
  <c r="E82"/>
  <c r="E81"/>
  <c r="E80"/>
  <c r="E79"/>
  <c r="B41"/>
  <c r="F75"/>
  <c r="E75"/>
  <c r="D75"/>
  <c r="B75"/>
  <c r="C75"/>
  <c r="A75"/>
  <c r="H78"/>
  <c r="F74" s="1"/>
  <c r="G78"/>
  <c r="F73" s="1"/>
  <c r="H77"/>
  <c r="E74" s="1"/>
  <c r="G77"/>
  <c r="E73" s="1"/>
  <c r="H76"/>
  <c r="D74" s="1"/>
  <c r="G76"/>
  <c r="D73" s="1"/>
  <c r="H75"/>
  <c r="C74" s="1"/>
  <c r="G75"/>
  <c r="C73" s="1"/>
  <c r="H74"/>
  <c r="B74" s="1"/>
  <c r="G74"/>
  <c r="B73" s="1"/>
  <c r="G73"/>
  <c r="A73" s="1"/>
  <c r="H73"/>
  <c r="A74" s="1"/>
  <c r="F41"/>
  <c r="F40"/>
  <c r="E41"/>
  <c r="D41"/>
  <c r="C41"/>
  <c r="A41"/>
  <c r="E40"/>
  <c r="D40"/>
  <c r="C40"/>
  <c r="B40"/>
  <c r="A40"/>
  <c r="D48" s="1"/>
  <c r="A98"/>
  <c r="D98"/>
  <c r="C98"/>
  <c r="B98"/>
  <c r="D97"/>
  <c r="C97"/>
  <c r="B97"/>
  <c r="A97"/>
  <c r="E113" i="11" l="1"/>
  <c r="E114"/>
  <c r="E115"/>
  <c r="E116"/>
  <c r="E117"/>
  <c r="E118"/>
  <c r="E119"/>
  <c r="E120"/>
  <c r="E121"/>
  <c r="E122"/>
  <c r="I87"/>
  <c r="G99"/>
  <c r="H99" s="1"/>
  <c r="G98"/>
  <c r="H98" s="1"/>
  <c r="G97"/>
  <c r="H97" s="1"/>
  <c r="G96"/>
  <c r="H96" s="1"/>
  <c r="G95"/>
  <c r="H95" s="1"/>
  <c r="G94"/>
  <c r="H94" s="1"/>
  <c r="G93"/>
  <c r="H93" s="1"/>
  <c r="G92"/>
  <c r="H92" s="1"/>
  <c r="G91"/>
  <c r="H91" s="1"/>
  <c r="G90"/>
  <c r="H90" s="1"/>
  <c r="H102"/>
  <c r="H101"/>
  <c r="F102"/>
  <c r="F101"/>
  <c r="D102"/>
  <c r="D101"/>
  <c r="F70" i="12"/>
  <c r="D20"/>
  <c r="D21"/>
  <c r="D22"/>
  <c r="D23"/>
  <c r="D24"/>
  <c r="D25"/>
  <c r="D26"/>
  <c r="D27"/>
  <c r="D28"/>
  <c r="AB5" i="11"/>
  <c r="AA5"/>
  <c r="Z5"/>
  <c r="Y5"/>
  <c r="X5"/>
  <c r="W5"/>
  <c r="V5"/>
  <c r="AF11"/>
  <c r="AD4"/>
  <c r="AH9"/>
  <c r="AJ8"/>
  <c r="AI8"/>
  <c r="AI7"/>
  <c r="AJ7"/>
  <c r="H85" i="10"/>
  <c r="O85"/>
  <c r="V85"/>
  <c r="D80"/>
  <c r="E80"/>
  <c r="F80"/>
  <c r="G80"/>
  <c r="H80"/>
  <c r="J80"/>
  <c r="K80"/>
  <c r="L80"/>
  <c r="M80"/>
  <c r="N80"/>
  <c r="O80"/>
  <c r="Q80"/>
  <c r="R80"/>
  <c r="S80"/>
  <c r="T80"/>
  <c r="U80"/>
  <c r="V80"/>
  <c r="D81"/>
  <c r="E81"/>
  <c r="F81"/>
  <c r="G81"/>
  <c r="H81"/>
  <c r="J81"/>
  <c r="K81"/>
  <c r="L81"/>
  <c r="M81"/>
  <c r="N81"/>
  <c r="O81"/>
  <c r="Q81"/>
  <c r="R81"/>
  <c r="S81"/>
  <c r="T81"/>
  <c r="U81"/>
  <c r="V81"/>
  <c r="D82"/>
  <c r="E82"/>
  <c r="F82"/>
  <c r="G82"/>
  <c r="H82"/>
  <c r="J82"/>
  <c r="K82"/>
  <c r="L82"/>
  <c r="M82"/>
  <c r="N82"/>
  <c r="O82"/>
  <c r="Q82"/>
  <c r="R82"/>
  <c r="S82"/>
  <c r="T82"/>
  <c r="U82"/>
  <c r="V82"/>
  <c r="D83"/>
  <c r="E83"/>
  <c r="F83"/>
  <c r="G83"/>
  <c r="H83"/>
  <c r="J83"/>
  <c r="K83"/>
  <c r="L83"/>
  <c r="M83"/>
  <c r="N83"/>
  <c r="O83"/>
  <c r="Q83"/>
  <c r="R83"/>
  <c r="S83"/>
  <c r="T83"/>
  <c r="U83"/>
  <c r="V83"/>
  <c r="D84"/>
  <c r="E84"/>
  <c r="F84"/>
  <c r="G84"/>
  <c r="H84"/>
  <c r="J84"/>
  <c r="K84"/>
  <c r="L84"/>
  <c r="M84"/>
  <c r="N84"/>
  <c r="O84"/>
  <c r="Q84"/>
  <c r="R84"/>
  <c r="S84"/>
  <c r="T84"/>
  <c r="U84"/>
  <c r="V84"/>
  <c r="D85"/>
  <c r="E85"/>
  <c r="F85"/>
  <c r="G85"/>
  <c r="J85"/>
  <c r="K85"/>
  <c r="L85"/>
  <c r="M85"/>
  <c r="N85"/>
  <c r="Q85"/>
  <c r="R85"/>
  <c r="S85"/>
  <c r="T85"/>
  <c r="U85"/>
  <c r="C87"/>
  <c r="D87"/>
  <c r="E87"/>
  <c r="F87"/>
  <c r="G87"/>
  <c r="H87"/>
  <c r="J87"/>
  <c r="K87"/>
  <c r="L87"/>
  <c r="M87"/>
  <c r="N87"/>
  <c r="O87"/>
  <c r="Q87"/>
  <c r="R87"/>
  <c r="S87"/>
  <c r="T87"/>
  <c r="U87"/>
  <c r="V87"/>
  <c r="H64"/>
  <c r="O64"/>
  <c r="D59"/>
  <c r="E59"/>
  <c r="F59"/>
  <c r="G59"/>
  <c r="H59"/>
  <c r="J59"/>
  <c r="K59"/>
  <c r="L59"/>
  <c r="M59"/>
  <c r="N59"/>
  <c r="O59"/>
  <c r="Q59"/>
  <c r="D60"/>
  <c r="E60"/>
  <c r="F60"/>
  <c r="G60"/>
  <c r="H60"/>
  <c r="J60"/>
  <c r="K60"/>
  <c r="L60"/>
  <c r="M60"/>
  <c r="N60"/>
  <c r="O60"/>
  <c r="Q60"/>
  <c r="D61"/>
  <c r="E61"/>
  <c r="F61"/>
  <c r="G61"/>
  <c r="H61"/>
  <c r="J61"/>
  <c r="K61"/>
  <c r="L61"/>
  <c r="M61"/>
  <c r="N61"/>
  <c r="O61"/>
  <c r="Q61"/>
  <c r="D62"/>
  <c r="E62"/>
  <c r="F62"/>
  <c r="G62"/>
  <c r="H62"/>
  <c r="J62"/>
  <c r="K62"/>
  <c r="L62"/>
  <c r="M62"/>
  <c r="N62"/>
  <c r="O62"/>
  <c r="Q62"/>
  <c r="D63"/>
  <c r="E63"/>
  <c r="F63"/>
  <c r="G63"/>
  <c r="H63"/>
  <c r="J63"/>
  <c r="K63"/>
  <c r="L63"/>
  <c r="M63"/>
  <c r="N63"/>
  <c r="O63"/>
  <c r="Q63"/>
  <c r="D64"/>
  <c r="E64"/>
  <c r="F64"/>
  <c r="G64"/>
  <c r="J64"/>
  <c r="K64"/>
  <c r="L64"/>
  <c r="M64"/>
  <c r="N64"/>
  <c r="Q64"/>
  <c r="R59"/>
  <c r="S59"/>
  <c r="T59"/>
  <c r="U59"/>
  <c r="V59"/>
  <c r="R60"/>
  <c r="S60"/>
  <c r="T60"/>
  <c r="U60"/>
  <c r="V60"/>
  <c r="R61"/>
  <c r="S61"/>
  <c r="T61"/>
  <c r="U61"/>
  <c r="V61"/>
  <c r="R62"/>
  <c r="S62"/>
  <c r="T62"/>
  <c r="U62"/>
  <c r="V62"/>
  <c r="R63"/>
  <c r="S63"/>
  <c r="T63"/>
  <c r="U63"/>
  <c r="V63"/>
  <c r="R64"/>
  <c r="S64"/>
  <c r="T64"/>
  <c r="U64"/>
  <c r="D66"/>
  <c r="E66"/>
  <c r="F66"/>
  <c r="G66"/>
  <c r="H66"/>
  <c r="J66"/>
  <c r="J11"/>
  <c r="G22"/>
  <c r="F22"/>
  <c r="H25"/>
  <c r="D16"/>
  <c r="E16"/>
  <c r="F16"/>
  <c r="G16"/>
  <c r="H16"/>
  <c r="D17"/>
  <c r="E17"/>
  <c r="F17"/>
  <c r="G17"/>
  <c r="H17"/>
  <c r="D18"/>
  <c r="E18"/>
  <c r="F18"/>
  <c r="G18"/>
  <c r="H18"/>
  <c r="D19"/>
  <c r="E19"/>
  <c r="F19"/>
  <c r="G19"/>
  <c r="H19"/>
  <c r="D20"/>
  <c r="E20"/>
  <c r="F20"/>
  <c r="G20"/>
  <c r="H20"/>
  <c r="D21"/>
  <c r="E21"/>
  <c r="F21"/>
  <c r="G21"/>
  <c r="H21"/>
  <c r="D22"/>
  <c r="E22"/>
  <c r="H22"/>
  <c r="D23"/>
  <c r="E23"/>
  <c r="F23"/>
  <c r="G23"/>
  <c r="H23"/>
  <c r="D24"/>
  <c r="E24"/>
  <c r="F24"/>
  <c r="G24"/>
  <c r="H24"/>
  <c r="D25"/>
  <c r="E25"/>
  <c r="F25"/>
  <c r="G25"/>
  <c r="C26"/>
  <c r="R40"/>
  <c r="R41"/>
  <c r="R42"/>
  <c r="R43"/>
  <c r="R44"/>
  <c r="Q47"/>
  <c r="D40"/>
  <c r="D41"/>
  <c r="D42"/>
  <c r="D43"/>
  <c r="D44"/>
  <c r="B166" i="8"/>
  <c r="C166"/>
  <c r="D166"/>
  <c r="E166"/>
  <c r="F166"/>
  <c r="C47"/>
  <c r="B149" s="1"/>
  <c r="D47"/>
  <c r="C149" s="1"/>
  <c r="E47"/>
  <c r="D149" s="1"/>
  <c r="F47"/>
  <c r="E149" s="1"/>
  <c r="G47"/>
  <c r="F149" s="1"/>
  <c r="B138"/>
  <c r="C138"/>
  <c r="D138"/>
  <c r="E138"/>
  <c r="F138"/>
  <c r="B139"/>
  <c r="C139"/>
  <c r="D139"/>
  <c r="E139"/>
  <c r="F139"/>
  <c r="C186" i="5"/>
  <c r="E174"/>
  <c r="E165"/>
  <c r="B166"/>
  <c r="C165"/>
  <c r="C176" s="1"/>
  <c r="C164"/>
  <c r="C175" s="1"/>
  <c r="AB14" i="3"/>
  <c r="AB5"/>
  <c r="AB6"/>
  <c r="AB7"/>
  <c r="AB8"/>
  <c r="AB9"/>
  <c r="AB10"/>
  <c r="AB11"/>
  <c r="AB12"/>
  <c r="AB13"/>
  <c r="AA14"/>
  <c r="AA13"/>
  <c r="AA12"/>
  <c r="AA11"/>
  <c r="AA10"/>
  <c r="AA9"/>
  <c r="AA8"/>
  <c r="AA7"/>
  <c r="AA6"/>
  <c r="AA5"/>
  <c r="C25" i="5"/>
  <c r="D25" s="1"/>
  <c r="C24"/>
  <c r="D24" s="1"/>
  <c r="C23"/>
  <c r="D23" s="1"/>
  <c r="C22"/>
  <c r="D22" s="1"/>
  <c r="C21"/>
  <c r="D21" s="1"/>
  <c r="C20"/>
  <c r="H25"/>
  <c r="F25"/>
  <c r="G20"/>
  <c r="G21"/>
  <c r="G22"/>
  <c r="G23"/>
  <c r="G24"/>
  <c r="AD17" i="6"/>
  <c r="AE17"/>
  <c r="AF17"/>
  <c r="AG17"/>
  <c r="AD18"/>
  <c r="AE18"/>
  <c r="AF18"/>
  <c r="AC19"/>
  <c r="AG6" i="4"/>
  <c r="AE8"/>
  <c r="AG8" s="1"/>
  <c r="AF7"/>
  <c r="AF6"/>
  <c r="G83" i="2"/>
  <c r="G82"/>
  <c r="G81"/>
  <c r="L75"/>
  <c r="K75"/>
  <c r="J75"/>
  <c r="L74"/>
  <c r="K74"/>
  <c r="J74"/>
  <c r="L73"/>
  <c r="K73"/>
  <c r="J73"/>
  <c r="I40"/>
  <c r="J40"/>
  <c r="I41"/>
  <c r="J41"/>
  <c r="D49"/>
  <c r="E125" i="11" l="1"/>
  <c r="E124"/>
  <c r="K87"/>
  <c r="I99"/>
  <c r="J99" s="1"/>
  <c r="I98"/>
  <c r="J98" s="1"/>
  <c r="I97"/>
  <c r="J97" s="1"/>
  <c r="I96"/>
  <c r="J96" s="1"/>
  <c r="I95"/>
  <c r="J95" s="1"/>
  <c r="I94"/>
  <c r="J94" s="1"/>
  <c r="I93"/>
  <c r="J93" s="1"/>
  <c r="I92"/>
  <c r="J92" s="1"/>
  <c r="I91"/>
  <c r="J91" s="1"/>
  <c r="I90"/>
  <c r="J90" s="1"/>
  <c r="D31" i="12"/>
  <c r="D30"/>
  <c r="AH10" i="11"/>
  <c r="AJ9"/>
  <c r="AI9"/>
  <c r="V88" i="10"/>
  <c r="U88"/>
  <c r="T88"/>
  <c r="S88"/>
  <c r="R88"/>
  <c r="Q88"/>
  <c r="O88"/>
  <c r="N88"/>
  <c r="M88"/>
  <c r="L88"/>
  <c r="K88"/>
  <c r="J88"/>
  <c r="H88"/>
  <c r="G88"/>
  <c r="F88"/>
  <c r="E88"/>
  <c r="D88"/>
  <c r="Q67"/>
  <c r="Q66"/>
  <c r="J67"/>
  <c r="H67"/>
  <c r="G67"/>
  <c r="F67"/>
  <c r="E67"/>
  <c r="D67"/>
  <c r="V67"/>
  <c r="V66"/>
  <c r="U67"/>
  <c r="U66"/>
  <c r="T67"/>
  <c r="T66"/>
  <c r="S67"/>
  <c r="S66"/>
  <c r="R67"/>
  <c r="R66"/>
  <c r="O67"/>
  <c r="O66"/>
  <c r="N67"/>
  <c r="N66"/>
  <c r="M67"/>
  <c r="M66"/>
  <c r="L67"/>
  <c r="L66"/>
  <c r="K67"/>
  <c r="K66"/>
  <c r="D48"/>
  <c r="R48"/>
  <c r="J15"/>
  <c r="J25"/>
  <c r="J24"/>
  <c r="J23"/>
  <c r="J22"/>
  <c r="J21"/>
  <c r="J20"/>
  <c r="J19"/>
  <c r="J18"/>
  <c r="J17"/>
  <c r="J16"/>
  <c r="J27" s="1"/>
  <c r="H27"/>
  <c r="H26"/>
  <c r="G27"/>
  <c r="G26"/>
  <c r="F26"/>
  <c r="E27"/>
  <c r="E26"/>
  <c r="D27"/>
  <c r="D26"/>
  <c r="R47"/>
  <c r="S45"/>
  <c r="S44"/>
  <c r="S43"/>
  <c r="S42"/>
  <c r="S41"/>
  <c r="S40"/>
  <c r="S48" s="1"/>
  <c r="D47"/>
  <c r="E45"/>
  <c r="E44"/>
  <c r="E43"/>
  <c r="E42"/>
  <c r="E41"/>
  <c r="E40"/>
  <c r="E48" s="1"/>
  <c r="F148" i="8"/>
  <c r="E148"/>
  <c r="D148"/>
  <c r="C148"/>
  <c r="B148"/>
  <c r="C187" i="5"/>
  <c r="E175"/>
  <c r="C188"/>
  <c r="E176"/>
  <c r="B167"/>
  <c r="C166"/>
  <c r="C177" s="1"/>
  <c r="E166"/>
  <c r="H24"/>
  <c r="F24"/>
  <c r="H23"/>
  <c r="F23"/>
  <c r="H22"/>
  <c r="F22"/>
  <c r="H21"/>
  <c r="F21"/>
  <c r="H20"/>
  <c r="F20"/>
  <c r="D20"/>
  <c r="D26" s="1"/>
  <c r="D28" s="1"/>
  <c r="C26"/>
  <c r="AG19" i="6"/>
  <c r="AF19"/>
  <c r="AE19"/>
  <c r="AD19"/>
  <c r="AC20"/>
  <c r="AE9" i="4"/>
  <c r="AG9" s="1"/>
  <c r="AF8"/>
  <c r="C82" i="2"/>
  <c r="B82"/>
  <c r="A82"/>
  <c r="C81"/>
  <c r="B81"/>
  <c r="A81"/>
  <c r="A80"/>
  <c r="B80"/>
  <c r="C80"/>
  <c r="L40"/>
  <c r="L41"/>
  <c r="K41"/>
  <c r="K40"/>
  <c r="G49"/>
  <c r="J102" i="11" l="1"/>
  <c r="J101"/>
  <c r="K99"/>
  <c r="L99" s="1"/>
  <c r="K98"/>
  <c r="L98" s="1"/>
  <c r="K97"/>
  <c r="L97" s="1"/>
  <c r="K96"/>
  <c r="L96" s="1"/>
  <c r="K95"/>
  <c r="L95" s="1"/>
  <c r="K94"/>
  <c r="L94" s="1"/>
  <c r="K93"/>
  <c r="L93" s="1"/>
  <c r="K92"/>
  <c r="L92" s="1"/>
  <c r="K91"/>
  <c r="L91" s="1"/>
  <c r="K90"/>
  <c r="L90" s="1"/>
  <c r="AH11"/>
  <c r="AJ10"/>
  <c r="AI10"/>
  <c r="D89" i="10"/>
  <c r="D75"/>
  <c r="P89"/>
  <c r="C75"/>
  <c r="I75"/>
  <c r="P75"/>
  <c r="C89"/>
  <c r="I89"/>
  <c r="E89"/>
  <c r="E75"/>
  <c r="F89"/>
  <c r="F75"/>
  <c r="G89"/>
  <c r="G75"/>
  <c r="H89"/>
  <c r="H75"/>
  <c r="J89"/>
  <c r="J75"/>
  <c r="K89"/>
  <c r="K75"/>
  <c r="L89"/>
  <c r="L75"/>
  <c r="M89"/>
  <c r="M75"/>
  <c r="N89"/>
  <c r="N75"/>
  <c r="O89"/>
  <c r="O75"/>
  <c r="Q89"/>
  <c r="Q75"/>
  <c r="R89"/>
  <c r="R75"/>
  <c r="S89"/>
  <c r="S75"/>
  <c r="T89"/>
  <c r="T75"/>
  <c r="U89"/>
  <c r="U75"/>
  <c r="V89"/>
  <c r="V75"/>
  <c r="K68"/>
  <c r="K54"/>
  <c r="D68"/>
  <c r="E68"/>
  <c r="F68"/>
  <c r="G68"/>
  <c r="H68"/>
  <c r="J68"/>
  <c r="P68"/>
  <c r="Q68"/>
  <c r="C54"/>
  <c r="D54"/>
  <c r="E54"/>
  <c r="F54"/>
  <c r="G54"/>
  <c r="H54"/>
  <c r="I54"/>
  <c r="J54"/>
  <c r="P54"/>
  <c r="Q54"/>
  <c r="C68"/>
  <c r="I68"/>
  <c r="L68"/>
  <c r="L54"/>
  <c r="M68"/>
  <c r="M54"/>
  <c r="N68"/>
  <c r="N54"/>
  <c r="O68"/>
  <c r="O54"/>
  <c r="R68"/>
  <c r="R54"/>
  <c r="S68"/>
  <c r="S54"/>
  <c r="T68"/>
  <c r="T54"/>
  <c r="U68"/>
  <c r="U54"/>
  <c r="V68"/>
  <c r="V54"/>
  <c r="J26"/>
  <c r="C28"/>
  <c r="T45"/>
  <c r="T44"/>
  <c r="T43"/>
  <c r="T42"/>
  <c r="T41"/>
  <c r="T40"/>
  <c r="T48" s="1"/>
  <c r="S47"/>
  <c r="E47"/>
  <c r="F45"/>
  <c r="F44"/>
  <c r="F43"/>
  <c r="F42"/>
  <c r="F41"/>
  <c r="F40"/>
  <c r="F48" s="1"/>
  <c r="E167" i="5"/>
  <c r="C189"/>
  <c r="E177"/>
  <c r="B168"/>
  <c r="C168" s="1"/>
  <c r="C179" s="1"/>
  <c r="C167"/>
  <c r="C178" s="1"/>
  <c r="AG20" i="6"/>
  <c r="AF20"/>
  <c r="AE20"/>
  <c r="AD20"/>
  <c r="AC21"/>
  <c r="AE10" i="4"/>
  <c r="AG10" s="1"/>
  <c r="AF9"/>
  <c r="J83" i="2"/>
  <c r="J82"/>
  <c r="J81"/>
  <c r="G48"/>
  <c r="L102" i="11" l="1"/>
  <c r="L101"/>
  <c r="AH12"/>
  <c r="AJ11"/>
  <c r="AI11"/>
  <c r="U45" i="10"/>
  <c r="U44"/>
  <c r="U43"/>
  <c r="U42"/>
  <c r="U41"/>
  <c r="U40"/>
  <c r="U48" s="1"/>
  <c r="T47"/>
  <c r="F47"/>
  <c r="G45"/>
  <c r="G44"/>
  <c r="G43"/>
  <c r="G42"/>
  <c r="G41"/>
  <c r="G40"/>
  <c r="G48" s="1"/>
  <c r="C190" i="5"/>
  <c r="E178"/>
  <c r="C191"/>
  <c r="E179"/>
  <c r="E168"/>
  <c r="E180"/>
  <c r="E183" s="1"/>
  <c r="AG21" i="6"/>
  <c r="AF21"/>
  <c r="AE21"/>
  <c r="AD21"/>
  <c r="AC22"/>
  <c r="AE11" i="4"/>
  <c r="AG11" s="1"/>
  <c r="AF10"/>
  <c r="C69" i="2"/>
  <c r="C68"/>
  <c r="C67"/>
  <c r="C66"/>
  <c r="C65"/>
  <c r="C70"/>
  <c r="AH13" i="11" l="1"/>
  <c r="AJ12"/>
  <c r="AI12"/>
  <c r="O45" i="10"/>
  <c r="O40"/>
  <c r="O41"/>
  <c r="O42"/>
  <c r="O43"/>
  <c r="O44"/>
  <c r="V45"/>
  <c r="V44"/>
  <c r="V43"/>
  <c r="V42"/>
  <c r="V41"/>
  <c r="V40"/>
  <c r="V48" s="1"/>
  <c r="U47"/>
  <c r="N45"/>
  <c r="N44"/>
  <c r="N43"/>
  <c r="N42"/>
  <c r="N41"/>
  <c r="N40"/>
  <c r="N48" s="1"/>
  <c r="G47"/>
  <c r="H45"/>
  <c r="H44"/>
  <c r="H43"/>
  <c r="H42"/>
  <c r="H41"/>
  <c r="H40"/>
  <c r="H48" s="1"/>
  <c r="F174" i="5"/>
  <c r="F175"/>
  <c r="F176"/>
  <c r="F177"/>
  <c r="G168"/>
  <c r="F168"/>
  <c r="E191" s="1"/>
  <c r="F167"/>
  <c r="E190" s="1"/>
  <c r="F166"/>
  <c r="E189" s="1"/>
  <c r="F165"/>
  <c r="E188" s="1"/>
  <c r="F164"/>
  <c r="E187" s="1"/>
  <c r="F163"/>
  <c r="E186" s="1"/>
  <c r="G164"/>
  <c r="G163"/>
  <c r="G165"/>
  <c r="G166"/>
  <c r="G167"/>
  <c r="F179"/>
  <c r="F178"/>
  <c r="H179"/>
  <c r="G179"/>
  <c r="F191"/>
  <c r="H178"/>
  <c r="G178"/>
  <c r="F190"/>
  <c r="AG22" i="6"/>
  <c r="AF22"/>
  <c r="AE22"/>
  <c r="AD22"/>
  <c r="AC23"/>
  <c r="AE12" i="4"/>
  <c r="AG12" s="1"/>
  <c r="AF11"/>
  <c r="AH14" i="11" l="1"/>
  <c r="AJ13"/>
  <c r="AI13"/>
  <c r="O48" i="10"/>
  <c r="K35"/>
  <c r="L35"/>
  <c r="M35"/>
  <c r="J35"/>
  <c r="N35"/>
  <c r="V35"/>
  <c r="O35"/>
  <c r="F35"/>
  <c r="T35"/>
  <c r="R35"/>
  <c r="S35"/>
  <c r="E35"/>
  <c r="C35"/>
  <c r="Q35"/>
  <c r="P35"/>
  <c r="D35"/>
  <c r="U35"/>
  <c r="G35"/>
  <c r="O47"/>
  <c r="V47"/>
  <c r="N47"/>
  <c r="H47"/>
  <c r="E192" i="5"/>
  <c r="F186"/>
  <c r="F187"/>
  <c r="F188"/>
  <c r="F189"/>
  <c r="H177"/>
  <c r="G177"/>
  <c r="H176"/>
  <c r="G176"/>
  <c r="H175"/>
  <c r="G175"/>
  <c r="H174"/>
  <c r="H180" s="1"/>
  <c r="H183" s="1"/>
  <c r="G174"/>
  <c r="F192"/>
  <c r="G186" s="1"/>
  <c r="H186" s="1"/>
  <c r="AG23" i="6"/>
  <c r="AF23"/>
  <c r="AE23"/>
  <c r="AD23"/>
  <c r="AC24"/>
  <c r="AE13" i="4"/>
  <c r="AG13" s="1"/>
  <c r="AF12"/>
  <c r="AH15" i="11" l="1"/>
  <c r="AJ14"/>
  <c r="AI14"/>
  <c r="H35" i="10"/>
  <c r="O49"/>
  <c r="Q49"/>
  <c r="M49"/>
  <c r="L49"/>
  <c r="K49"/>
  <c r="J49"/>
  <c r="G49"/>
  <c r="V49"/>
  <c r="U49"/>
  <c r="T49"/>
  <c r="P49"/>
  <c r="I49"/>
  <c r="D49"/>
  <c r="C49"/>
  <c r="E49"/>
  <c r="S49"/>
  <c r="R49"/>
  <c r="F49"/>
  <c r="N49"/>
  <c r="H49"/>
  <c r="I35"/>
  <c r="F195" i="5"/>
  <c r="G191"/>
  <c r="H191" s="1"/>
  <c r="G190"/>
  <c r="H190" s="1"/>
  <c r="G189"/>
  <c r="H189" s="1"/>
  <c r="G188"/>
  <c r="H188" s="1"/>
  <c r="G187"/>
  <c r="H187" s="1"/>
  <c r="H192"/>
  <c r="AG24" i="6"/>
  <c r="AF24"/>
  <c r="AE24"/>
  <c r="AD24"/>
  <c r="AC25"/>
  <c r="AE14" i="4"/>
  <c r="AG14" s="1"/>
  <c r="AF13"/>
  <c r="AH16" i="11" l="1"/>
  <c r="AJ15"/>
  <c r="AI15"/>
  <c r="AG25" i="6"/>
  <c r="AF25"/>
  <c r="AE25"/>
  <c r="AD25"/>
  <c r="AC26"/>
  <c r="AE15" i="4"/>
  <c r="AG15" s="1"/>
  <c r="AF14"/>
  <c r="AH17" i="11" l="1"/>
  <c r="AJ16"/>
  <c r="AI16"/>
  <c r="AG26" i="6"/>
  <c r="AF26"/>
  <c r="AE26"/>
  <c r="AD26"/>
  <c r="AC27"/>
  <c r="AE16" i="4"/>
  <c r="AG16" s="1"/>
  <c r="AF15"/>
  <c r="AH18" i="11" l="1"/>
  <c r="AJ17"/>
  <c r="AI17"/>
  <c r="AG27" i="6"/>
  <c r="AF27"/>
  <c r="AE27"/>
  <c r="AD27"/>
  <c r="AC28"/>
  <c r="AE17" i="4"/>
  <c r="AG17" s="1"/>
  <c r="AF16"/>
  <c r="AH19" i="11" l="1"/>
  <c r="AJ18"/>
  <c r="AI18"/>
  <c r="AG28" i="6"/>
  <c r="AF28"/>
  <c r="AE28"/>
  <c r="AD28"/>
  <c r="AC29"/>
  <c r="AE18" i="4"/>
  <c r="AG18" s="1"/>
  <c r="AF17"/>
  <c r="AH20" i="11" l="1"/>
  <c r="AJ19"/>
  <c r="AI19"/>
  <c r="AG29" i="6"/>
  <c r="AF29"/>
  <c r="AE29"/>
  <c r="AD29"/>
  <c r="AC30"/>
  <c r="AE19" i="4"/>
  <c r="AG19" s="1"/>
  <c r="AF18"/>
  <c r="AH21" i="11" l="1"/>
  <c r="AJ20"/>
  <c r="AI20"/>
  <c r="AG30" i="6"/>
  <c r="AF30"/>
  <c r="AE30"/>
  <c r="AD30"/>
  <c r="AC31"/>
  <c r="AE20" i="4"/>
  <c r="AG20" s="1"/>
  <c r="AF19"/>
  <c r="AH22" i="11" l="1"/>
  <c r="AJ21"/>
  <c r="AI21"/>
  <c r="AG31" i="6"/>
  <c r="AF31"/>
  <c r="AE31"/>
  <c r="AD31"/>
  <c r="AC32"/>
  <c r="AE21" i="4"/>
  <c r="AG21" s="1"/>
  <c r="AF20"/>
  <c r="AH23" i="11" l="1"/>
  <c r="AJ22"/>
  <c r="AI22"/>
  <c r="AG32" i="6"/>
  <c r="AF32"/>
  <c r="AE32"/>
  <c r="AD32"/>
  <c r="AC33"/>
  <c r="AE22" i="4"/>
  <c r="AG22" s="1"/>
  <c r="AF21"/>
  <c r="AH24" i="11" l="1"/>
  <c r="AJ23"/>
  <c r="AI23"/>
  <c r="AG33" i="6"/>
  <c r="AF33"/>
  <c r="AE33"/>
  <c r="AD33"/>
  <c r="AC34"/>
  <c r="AE23" i="4"/>
  <c r="AG23" s="1"/>
  <c r="AF22"/>
  <c r="AH25" i="11" l="1"/>
  <c r="AJ24"/>
  <c r="AI24"/>
  <c r="AG34" i="6"/>
  <c r="AF34"/>
  <c r="AE34"/>
  <c r="AD34"/>
  <c r="AC35"/>
  <c r="AE24" i="4"/>
  <c r="AG24" s="1"/>
  <c r="AF23"/>
  <c r="AH26" i="11" l="1"/>
  <c r="AJ25"/>
  <c r="AI25"/>
  <c r="AG35" i="6"/>
  <c r="AF35"/>
  <c r="AE35"/>
  <c r="AD35"/>
  <c r="AC36"/>
  <c r="AE25" i="4"/>
  <c r="AG25" s="1"/>
  <c r="AF24"/>
  <c r="AH27" i="11" l="1"/>
  <c r="AJ26"/>
  <c r="AI26"/>
  <c r="AG36" i="6"/>
  <c r="AF36"/>
  <c r="AE36"/>
  <c r="AD36"/>
  <c r="AC37"/>
  <c r="AE26" i="4"/>
  <c r="AF25"/>
  <c r="AH28" i="11" l="1"/>
  <c r="AJ27"/>
  <c r="AI27"/>
  <c r="AG26" i="4"/>
  <c r="AE27"/>
  <c r="AE28" s="1"/>
  <c r="AG37" i="6"/>
  <c r="AF37"/>
  <c r="AE37"/>
  <c r="AD37"/>
  <c r="AC38"/>
  <c r="AF26" i="4"/>
  <c r="AJ28" i="11" l="1"/>
  <c r="AI28"/>
  <c r="AF28" i="4"/>
  <c r="AG28"/>
  <c r="AE29"/>
  <c r="AF27"/>
  <c r="AG27"/>
  <c r="AG38" i="6"/>
  <c r="AF38"/>
  <c r="AE38"/>
  <c r="AD38"/>
  <c r="AC39"/>
  <c r="AF29" i="4" l="1"/>
  <c r="AG29"/>
  <c r="AE30"/>
  <c r="AG39" i="6"/>
  <c r="AF39"/>
  <c r="AE39"/>
  <c r="AD39"/>
  <c r="AC40"/>
  <c r="AF30" i="4" l="1"/>
  <c r="AG30"/>
  <c r="AG40" i="6"/>
  <c r="AF40"/>
  <c r="AE40"/>
  <c r="AD40"/>
  <c r="AC41"/>
  <c r="AG41" l="1"/>
  <c r="AF41"/>
  <c r="AE41"/>
  <c r="AD41"/>
  <c r="AC42"/>
  <c r="AE31" i="4"/>
  <c r="AG31" s="1"/>
  <c r="AJ29" i="11" l="1"/>
  <c r="AI29"/>
  <c r="AG42" i="6"/>
  <c r="AF42"/>
  <c r="AE42"/>
  <c r="AD42"/>
  <c r="AC43"/>
  <c r="AE32" i="4"/>
  <c r="AG32" s="1"/>
  <c r="AF31"/>
  <c r="AJ30" i="11" l="1"/>
  <c r="AI30"/>
  <c r="AG43" i="6"/>
  <c r="AF43"/>
  <c r="AE43"/>
  <c r="AD43"/>
  <c r="AC44"/>
  <c r="AE33" i="4"/>
  <c r="AG33" s="1"/>
  <c r="AF32"/>
  <c r="AJ31" i="11" l="1"/>
  <c r="AI31"/>
  <c r="AG44" i="6"/>
  <c r="AF44"/>
  <c r="AE44"/>
  <c r="AD44"/>
  <c r="AC45"/>
  <c r="AE40" i="4"/>
  <c r="AG40" s="1"/>
  <c r="AF33"/>
  <c r="AJ32" i="11" l="1"/>
  <c r="AI32"/>
  <c r="AG45" i="6"/>
  <c r="AF45"/>
  <c r="AE45"/>
  <c r="AD45"/>
  <c r="AC46"/>
  <c r="AE41" i="4"/>
  <c r="AG41" s="1"/>
  <c r="AF40"/>
  <c r="AJ33" i="11" l="1"/>
  <c r="AI33"/>
  <c r="AG46" i="6"/>
  <c r="AF46"/>
  <c r="AE46"/>
  <c r="AD46"/>
  <c r="AC47"/>
  <c r="AE42" i="4"/>
  <c r="AG42" s="1"/>
  <c r="AF41"/>
  <c r="AJ34" i="11" l="1"/>
  <c r="AI34"/>
  <c r="AG47" i="6"/>
  <c r="AF47"/>
  <c r="AE47"/>
  <c r="AD47"/>
  <c r="AC48"/>
  <c r="AE43" i="4"/>
  <c r="AG43" s="1"/>
  <c r="AF42"/>
  <c r="AJ35" i="11" l="1"/>
  <c r="AI35"/>
  <c r="AG48" i="6"/>
  <c r="AF48"/>
  <c r="AE48"/>
  <c r="AD48"/>
  <c r="AC49"/>
  <c r="AE44" i="4"/>
  <c r="AG44" s="1"/>
  <c r="AF43"/>
  <c r="AJ36" i="11" l="1"/>
  <c r="AI36"/>
  <c r="AG49" i="6"/>
  <c r="AF49"/>
  <c r="AE49"/>
  <c r="AD49"/>
  <c r="AC50"/>
  <c r="AE45" i="4"/>
  <c r="AG45" s="1"/>
  <c r="AF44"/>
  <c r="AJ37" i="11" l="1"/>
  <c r="AI37"/>
  <c r="AG50" i="6"/>
  <c r="AF50"/>
  <c r="AE50"/>
  <c r="AD50"/>
  <c r="AC51"/>
  <c r="AE46" i="4"/>
  <c r="AG46" s="1"/>
  <c r="AF45"/>
  <c r="AJ38" i="11" l="1"/>
  <c r="AI38"/>
  <c r="AG51" i="6"/>
  <c r="AF51"/>
  <c r="AE51"/>
  <c r="AD51"/>
  <c r="AC52"/>
  <c r="AE47" i="4"/>
  <c r="AG47" s="1"/>
  <c r="AF46"/>
  <c r="AJ39" i="11" l="1"/>
  <c r="AI39"/>
  <c r="AG52" i="6"/>
  <c r="AF52"/>
  <c r="AE52"/>
  <c r="AD52"/>
  <c r="AC53"/>
  <c r="AE48" i="4"/>
  <c r="AG48" s="1"/>
  <c r="AF47"/>
  <c r="AJ40" i="11" l="1"/>
  <c r="AI40"/>
  <c r="AG53" i="6"/>
  <c r="AF53"/>
  <c r="AE53"/>
  <c r="AD53"/>
  <c r="AC54"/>
  <c r="AE49" i="4"/>
  <c r="AG49" s="1"/>
  <c r="AF48"/>
  <c r="AJ41" i="11" l="1"/>
  <c r="AI41"/>
  <c r="AG54" i="6"/>
  <c r="AF54"/>
  <c r="AE54"/>
  <c r="AD54"/>
  <c r="AE50" i="4"/>
  <c r="AG50" s="1"/>
  <c r="AF49"/>
  <c r="AJ42" i="11" l="1"/>
  <c r="AI42"/>
  <c r="AE51" i="4"/>
  <c r="AG51" s="1"/>
  <c r="AF50"/>
  <c r="AJ43" i="11" l="1"/>
  <c r="AI43"/>
  <c r="AE52" i="4"/>
  <c r="AF51"/>
  <c r="AJ44" i="11" l="1"/>
  <c r="AI44"/>
  <c r="AF52" i="4"/>
  <c r="AG52"/>
  <c r="D102" i="2"/>
  <c r="D103"/>
  <c r="H98"/>
  <c r="G97"/>
  <c r="H97"/>
  <c r="G98"/>
  <c r="I98" l="1"/>
  <c r="I97"/>
  <c r="J97"/>
  <c r="J98"/>
  <c r="G103" l="1"/>
  <c r="G102"/>
</calcChain>
</file>

<file path=xl/sharedStrings.xml><?xml version="1.0" encoding="utf-8"?>
<sst xmlns="http://schemas.openxmlformats.org/spreadsheetml/2006/main" count="1219" uniqueCount="991">
  <si>
    <t>FUNCTIES , VARIABELEN EN PARAMETERS</t>
  </si>
  <si>
    <t>a</t>
  </si>
  <si>
    <t>b</t>
  </si>
  <si>
    <t>c</t>
  </si>
  <si>
    <t>Y</t>
  </si>
  <si>
    <t>VARIABELE: x</t>
  </si>
  <si>
    <t>PARAMETERS:  a, b en c</t>
  </si>
  <si>
    <t>abc-formule:</t>
  </si>
  <si>
    <r>
      <t>x</t>
    </r>
    <r>
      <rPr>
        <b/>
        <vertAlign val="subscript"/>
        <sz val="11"/>
        <color theme="1"/>
        <rFont val="Calibri"/>
        <family val="2"/>
        <scheme val="minor"/>
      </rPr>
      <t>1,2</t>
    </r>
    <r>
      <rPr>
        <b/>
        <sz val="11"/>
        <color theme="1"/>
        <rFont val="Calibri"/>
        <family val="2"/>
        <scheme val="minor"/>
      </rPr>
      <t xml:space="preserve"> = </t>
    </r>
  </si>
  <si>
    <t xml:space="preserve">Top bij x =  </t>
  </si>
  <si>
    <t>STELSEL</t>
  </si>
  <si>
    <t>VERGELIJKINGEN</t>
  </si>
  <si>
    <t xml:space="preserve"> BEREKEN a, b en c</t>
  </si>
  <si>
    <r>
      <t>y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= a x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+ b x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+ c</t>
    </r>
  </si>
  <si>
    <r>
      <t>y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= a x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+ b x</t>
    </r>
    <r>
      <rPr>
        <b/>
        <vertAlign val="sub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 xml:space="preserve">+ c </t>
    </r>
  </si>
  <si>
    <r>
      <t>y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= a x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+ b x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+ c </t>
    </r>
  </si>
  <si>
    <t>LINEAIRE</t>
  </si>
  <si>
    <r>
      <t xml:space="preserve">( </t>
    </r>
    <r>
      <rPr>
        <b/>
        <u/>
        <sz val="11"/>
        <color theme="1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 xml:space="preserve"> = A </t>
    </r>
    <r>
      <rPr>
        <b/>
        <u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             </t>
    </r>
    <r>
      <rPr>
        <b/>
        <u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= (A</t>
    </r>
    <r>
      <rPr>
        <b/>
        <vertAlign val="super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A)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 xml:space="preserve"> A</t>
    </r>
    <r>
      <rPr>
        <b/>
        <vertAlign val="super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 xml:space="preserve">  )      </t>
    </r>
  </si>
  <si>
    <t>z</t>
  </si>
  <si>
    <t>A</t>
  </si>
  <si>
    <t>p</t>
  </si>
  <si>
    <t>i=</t>
  </si>
  <si>
    <t>1          1</t>
  </si>
  <si>
    <t>5          2</t>
  </si>
  <si>
    <t>1          8</t>
  </si>
  <si>
    <t>7        10</t>
  </si>
  <si>
    <r>
      <t>A</t>
    </r>
    <r>
      <rPr>
        <b/>
        <vertAlign val="superscript"/>
        <sz val="11"/>
        <color theme="1"/>
        <rFont val="Calibri"/>
        <family val="2"/>
        <scheme val="minor"/>
      </rPr>
      <t>T</t>
    </r>
  </si>
  <si>
    <r>
      <t>A</t>
    </r>
    <r>
      <rPr>
        <b/>
        <vertAlign val="super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A</t>
    </r>
  </si>
  <si>
    <r>
      <t>(A</t>
    </r>
    <r>
      <rPr>
        <b/>
        <vertAlign val="super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A)</t>
    </r>
    <r>
      <rPr>
        <b/>
        <vertAlign val="superscript"/>
        <sz val="11"/>
        <color theme="1"/>
        <rFont val="Calibri"/>
        <family val="2"/>
        <scheme val="minor"/>
      </rPr>
      <t>-1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</si>
  <si>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 xml:space="preserve">     1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</si>
  <si>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     1</t>
    </r>
  </si>
  <si>
    <r>
      <t>y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</si>
  <si>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y</t>
    </r>
    <r>
      <rPr>
        <b/>
        <vertAlign val="subscript"/>
        <sz val="11"/>
        <color theme="1"/>
        <rFont val="Calibri"/>
        <family val="2"/>
        <scheme val="minor"/>
      </rPr>
      <t>2</t>
    </r>
  </si>
  <si>
    <t xml:space="preserve">  1        -1</t>
  </si>
  <si>
    <t>BIJ MEER DAN TWEE PUNTEN WORDT DE BESTE SCHATTING VAN a EN b BEREKEND MET</t>
  </si>
  <si>
    <r>
      <t xml:space="preserve">IN MATRIX NOTATIE WORDT DIT GESCHREVEN ALS </t>
    </r>
    <r>
      <rPr>
        <b/>
        <u/>
        <sz val="11"/>
        <color theme="1"/>
        <rFont val="Calibri"/>
        <family val="2"/>
        <scheme val="minor"/>
      </rPr>
      <t xml:space="preserve"> y</t>
    </r>
    <r>
      <rPr>
        <b/>
        <sz val="11"/>
        <color theme="1"/>
        <rFont val="Calibri"/>
        <family val="2"/>
        <scheme val="minor"/>
      </rPr>
      <t xml:space="preserve"> = A </t>
    </r>
    <r>
      <rPr>
        <b/>
        <u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MET ALS OPLOSSING  </t>
    </r>
    <r>
      <rPr>
        <b/>
        <u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= A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y</t>
    </r>
  </si>
  <si>
    <t>q</t>
  </si>
  <si>
    <t xml:space="preserve">   p</t>
  </si>
  <si>
    <t xml:space="preserve">   q</t>
  </si>
  <si>
    <r>
      <t xml:space="preserve">     y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</si>
  <si>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 xml:space="preserve">     y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</si>
  <si>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IN EXCEL GEBRUIK JE HIERVOOR DE FUNCTIE INDEX EN DE WISKUNDIGE FORMULES PRODUCTMAT EN INVERSEMAT</t>
  </si>
  <si>
    <t>X</t>
  </si>
  <si>
    <t>y = 0.88* x + 1,07</t>
  </si>
  <si>
    <t xml:space="preserve">DUS DE LINEAIRE REGRESSIELIJN </t>
  </si>
  <si>
    <t>DIT KUN JE OOK TOEPASSEN BIJ DE TWEE PUNTEN IN VOORBEELD 1</t>
  </si>
  <si>
    <t>x</t>
  </si>
  <si>
    <t>y</t>
  </si>
  <si>
    <t>DUS DE MIMUM KWADRATEN PARABOOL  y = 0,53 x2 + 4,03 x - 5,76</t>
  </si>
  <si>
    <t>y min kwad</t>
  </si>
  <si>
    <t xml:space="preserve">MEETWAARDEN </t>
  </si>
  <si>
    <t>DIT IS DE RODE LIJN</t>
  </si>
  <si>
    <t>DUS HET LINEAIRE REGRESSIEVLAK  z = 2,74 x + 3,60 y</t>
  </si>
  <si>
    <t>JE HOEFT DE THEORIE OVER MATRIX REKENEN NIET TE KENNEN</t>
  </si>
  <si>
    <t>WORDEN BEREKEND. (KLIK EENS OP DE CELLEN IN DE VOORBEELDEN EN BEKIJK DE FORMULES)</t>
  </si>
  <si>
    <t>PROBEER ZELF MAAR EENS EEN VOORBEELD OM TE ZIEN DAT DIT KLOPT</t>
  </si>
  <si>
    <t>=INDEX(PRODUCTMAT($A$38:$F$39;$G$38:$H$43);2;1)</t>
  </si>
  <si>
    <t>=INDEX(INVERSEMAT($I$38:$J$39);2;2)</t>
  </si>
  <si>
    <r>
      <t>HIERIN IS A</t>
    </r>
    <r>
      <rPr>
        <b/>
        <vertAlign val="superscript"/>
        <sz val="11"/>
        <color theme="1"/>
        <rFont val="Calibri"/>
        <family val="2"/>
        <scheme val="minor"/>
      </rPr>
      <t xml:space="preserve">-1 </t>
    </r>
    <r>
      <rPr>
        <b/>
        <sz val="11"/>
        <color theme="1"/>
        <rFont val="Calibri"/>
        <family val="2"/>
        <scheme val="minor"/>
      </rPr>
      <t>DE INVERSE VAN A,    1/(x</t>
    </r>
    <r>
      <rPr>
        <b/>
        <vertAlign val="subscript"/>
        <sz val="11"/>
        <color theme="1"/>
        <rFont val="Calibri"/>
        <family val="2"/>
        <scheme val="minor"/>
      </rPr>
      <t>1-</t>
    </r>
    <r>
      <rPr>
        <b/>
        <sz val="11"/>
        <color theme="1"/>
        <rFont val="Calibri"/>
        <family val="2"/>
        <scheme val="minor"/>
      </rPr>
      <t>x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 DE DETERMINANT EN  AA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 xml:space="preserve"> = I   DE EENHEIDSMATRIX</t>
    </r>
  </si>
  <si>
    <r>
      <t xml:space="preserve">    x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</si>
  <si>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 xml:space="preserve">       x</t>
  </si>
  <si>
    <t>=INDEX($G$38:$H$43;3;2)</t>
  </si>
  <si>
    <t>DE BOVENSTAANDE METHODE GEEFT VAAK EEN GOED RESULTAAT, MAAR IN BEPAALDE SITUATIES NIET</t>
  </si>
  <si>
    <t>DAN WORDEN MEER GEAVANCEERDE METHODEN GEBRUIKT, ZOALS QR COMPOSITIE EN RECURSIEVE OPLOSSINGEN</t>
  </si>
  <si>
    <t>MEER GEAVANCEERDE NUMERIEKE TECHNIEKEN</t>
  </si>
  <si>
    <t>VOOR HET VOORSPELLEN VAN HET GEDRAG VAN DYNAMISCHE SYSTEMEN WORDEN O.A. KALMANFILTERS GEBRUIKT</t>
  </si>
  <si>
    <t>6 x 2 MATRIX</t>
  </si>
  <si>
    <t>A   (6 x 3)</t>
  </si>
  <si>
    <t xml:space="preserve">          A      (4 x 2)</t>
  </si>
  <si>
    <r>
      <t>n</t>
    </r>
    <r>
      <rPr>
        <b/>
        <u/>
        <vertAlign val="superscript"/>
        <sz val="11"/>
        <color theme="1"/>
        <rFont val="Calibri"/>
        <family val="2"/>
        <scheme val="minor"/>
      </rPr>
      <t>e</t>
    </r>
    <r>
      <rPr>
        <b/>
        <u/>
        <sz val="11"/>
        <color theme="1"/>
        <rFont val="Calibri"/>
        <family val="2"/>
        <scheme val="minor"/>
      </rPr>
      <t>-GRAADS POLYNOMEN</t>
    </r>
  </si>
  <si>
    <r>
      <t>y = a x</t>
    </r>
    <r>
      <rPr>
        <b/>
        <u/>
        <vertAlign val="superscript"/>
        <sz val="11"/>
        <color theme="1"/>
        <rFont val="Calibri"/>
        <family val="2"/>
        <scheme val="minor"/>
      </rPr>
      <t>2</t>
    </r>
    <r>
      <rPr>
        <b/>
        <u/>
        <sz val="11"/>
        <color theme="1"/>
        <rFont val="Calibri"/>
        <family val="2"/>
        <scheme val="minor"/>
      </rPr>
      <t xml:space="preserve"> + bx + c</t>
    </r>
  </si>
  <si>
    <t>LINEAIRE LIJN:</t>
  </si>
  <si>
    <t>VARIABELE</t>
  </si>
  <si>
    <t>PARAMETERS</t>
  </si>
  <si>
    <t>a  &amp;  b</t>
  </si>
  <si>
    <t>KWADRATISCH   =  PARABOOL</t>
  </si>
  <si>
    <r>
      <t>y(x) = a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+ </t>
    </r>
    <r>
      <rPr>
        <b/>
        <sz val="11"/>
        <color theme="1"/>
        <rFont val="Calibri"/>
        <family val="2"/>
      </rPr>
      <t>∑  a</t>
    </r>
    <r>
      <rPr>
        <b/>
        <vertAlign val="subscript"/>
        <sz val="11"/>
        <color theme="1"/>
        <rFont val="Calibri"/>
        <family val="2"/>
      </rPr>
      <t xml:space="preserve">i </t>
    </r>
    <r>
      <rPr>
        <b/>
        <sz val="11"/>
        <color theme="1"/>
        <rFont val="Calibri"/>
        <family val="2"/>
      </rPr>
      <t>* x</t>
    </r>
    <r>
      <rPr>
        <b/>
        <vertAlign val="subscript"/>
        <sz val="11"/>
        <color theme="1"/>
        <rFont val="Calibri"/>
        <family val="2"/>
      </rPr>
      <t>i</t>
    </r>
    <r>
      <rPr>
        <b/>
        <vertAlign val="superscript"/>
        <sz val="14"/>
        <color theme="1"/>
        <rFont val="Calibri"/>
        <family val="2"/>
      </rPr>
      <t>e</t>
    </r>
    <r>
      <rPr>
        <b/>
        <vertAlign val="superscript"/>
        <sz val="11"/>
        <color theme="1"/>
        <rFont val="Calibri"/>
        <family val="2"/>
      </rPr>
      <t>i</t>
    </r>
  </si>
  <si>
    <r>
      <t>EXPONENTI</t>
    </r>
    <r>
      <rPr>
        <b/>
        <sz val="11"/>
        <color theme="1"/>
        <rFont val="Calibri"/>
        <family val="2"/>
      </rPr>
      <t xml:space="preserve">ËLE FUNCTIE </t>
    </r>
  </si>
  <si>
    <r>
      <t xml:space="preserve"> y(x) = a b</t>
    </r>
    <r>
      <rPr>
        <b/>
        <vertAlign val="superscript"/>
        <sz val="14"/>
        <color theme="1"/>
        <rFont val="Calibri"/>
        <family val="2"/>
        <scheme val="minor"/>
      </rPr>
      <t>x</t>
    </r>
  </si>
  <si>
    <t>PARAMETERS:  a en b</t>
  </si>
  <si>
    <r>
      <t>BEPAAL SNIJPUNT MET Y-AS EN RICHTINGSCO</t>
    </r>
    <r>
      <rPr>
        <b/>
        <sz val="11"/>
        <color theme="1"/>
        <rFont val="Calibri"/>
        <family val="2"/>
      </rPr>
      <t>ËFFICIENT EN VERVOLGENS a EN b</t>
    </r>
  </si>
  <si>
    <t>NA LINKS EN RECHTS NEMEN VAN LOGARITMEN ONSTAAN RECHTE LIJNEN</t>
  </si>
  <si>
    <r>
      <t>BIJ EEN MACHTSFUNCTIE  y = a x</t>
    </r>
    <r>
      <rPr>
        <b/>
        <vertAlign val="superscript"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 xml:space="preserve"> GEBRUIK JE EEN DUBBEL LOGARTIMISCHE SCHAAL</t>
    </r>
  </si>
  <si>
    <t xml:space="preserve">IN PLAATS VAN LOG KUN JE OOK DE NATUURLIJKE LOGARITMEN LN GEBRUIKEN </t>
  </si>
  <si>
    <t>BIJ EEN SOM VAN TERMEN WORDT NAMELIJK GEEN RECHTE LIJN VERKREGEN</t>
  </si>
  <si>
    <t>1e GRAADS    MET 1 OF 2 PARAMETERS</t>
  </si>
  <si>
    <t>Y = a X + b</t>
  </si>
  <si>
    <r>
      <t xml:space="preserve"> Y(X) = a X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+ bX + c</t>
    </r>
  </si>
  <si>
    <t>VARIABELE: X</t>
  </si>
  <si>
    <t xml:space="preserve">ALS DRIE PUNTEN GEGEVEN ZIJN KUNNEN a, b EN c WORDEN BEREKEND MET EEN </t>
  </si>
  <si>
    <t>IN NATUURKUNDE BESTAAT VEELAL ONZEKERHEID DOOR TOLERANTIES OM DE PUNTEN</t>
  </si>
  <si>
    <t>2e GRAADS  MET 1, 2 OF 3 PARAMETERS</t>
  </si>
  <si>
    <t>NORMALE VERDELING</t>
  </si>
  <si>
    <t>STATISTISCHE KENTALLEN</t>
  </si>
  <si>
    <t>GEMIDDELDE</t>
  </si>
  <si>
    <t>DEVIATIE</t>
  </si>
  <si>
    <t>VARIANTIE</t>
  </si>
  <si>
    <t>STANDAARDAFWIJKING</t>
  </si>
  <si>
    <t>σ = √ (VARIANTIE/N)</t>
  </si>
  <si>
    <t>X = SOM WAARDEN/ N</t>
  </si>
  <si>
    <t>AANTAL WAARDEN</t>
  </si>
  <si>
    <t>N</t>
  </si>
  <si>
    <t>AFWIJKING VAN EEN WAARDE T.O.V. HET GEMIDDELDE</t>
  </si>
  <si>
    <t xml:space="preserve"> = MAAT VOOR SPREIDING OM HET GEMIDDELDE</t>
  </si>
  <si>
    <r>
      <t xml:space="preserve">VERSCHIL </t>
    </r>
    <r>
      <rPr>
        <b/>
        <sz val="11"/>
        <color theme="1"/>
        <rFont val="Calibri"/>
        <family val="2"/>
      </rPr>
      <t>μ</t>
    </r>
    <r>
      <rPr>
        <b/>
        <vertAlign val="subscript"/>
        <sz val="11"/>
        <color theme="1"/>
        <rFont val="Calibri"/>
        <family val="2"/>
      </rPr>
      <t>v</t>
    </r>
    <r>
      <rPr>
        <b/>
        <sz val="11"/>
        <color theme="1"/>
        <rFont val="Calibri"/>
        <family val="2"/>
      </rPr>
      <t xml:space="preserve"> = μ</t>
    </r>
    <r>
      <rPr>
        <b/>
        <vertAlign val="sub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 xml:space="preserve"> - μ</t>
    </r>
    <r>
      <rPr>
        <b/>
        <vertAlign val="subscript"/>
        <sz val="11"/>
        <color theme="1"/>
        <rFont val="Calibri"/>
        <family val="2"/>
      </rPr>
      <t>1</t>
    </r>
  </si>
  <si>
    <t>BIJ NORMALE VERDELINGEN</t>
  </si>
  <si>
    <t>DIT WORDT O.A. TOEGEPAST BIJ HET OPLOSSEN VAN STELSELS LINEAIRE VERGELIJKINGEN</t>
  </si>
  <si>
    <r>
      <t>MET A</t>
    </r>
    <r>
      <rPr>
        <b/>
        <vertAlign val="superscript"/>
        <sz val="11"/>
        <color theme="1"/>
        <rFont val="Calibri"/>
        <family val="2"/>
        <scheme val="minor"/>
      </rPr>
      <t xml:space="preserve">T  =  </t>
    </r>
    <r>
      <rPr>
        <b/>
        <sz val="11"/>
        <color theme="1"/>
        <rFont val="Calibri"/>
        <family val="2"/>
        <scheme val="minor"/>
      </rPr>
      <t>DE GETRANSPONEERDE VAN A</t>
    </r>
  </si>
  <si>
    <r>
      <t xml:space="preserve">SOM   </t>
    </r>
    <r>
      <rPr>
        <b/>
        <sz val="11"/>
        <color theme="1"/>
        <rFont val="Calibri"/>
        <family val="2"/>
      </rPr>
      <t>μ</t>
    </r>
    <r>
      <rPr>
        <b/>
        <vertAlign val="subscript"/>
        <sz val="11"/>
        <color theme="1"/>
        <rFont val="Calibri"/>
        <family val="2"/>
      </rPr>
      <t>s</t>
    </r>
    <r>
      <rPr>
        <b/>
        <sz val="11"/>
        <color theme="1"/>
        <rFont val="Calibri"/>
        <family val="2"/>
      </rPr>
      <t xml:space="preserve"> = </t>
    </r>
    <r>
      <rPr>
        <b/>
        <sz val="11"/>
        <color theme="3"/>
        <rFont val="Calibri"/>
        <family val="2"/>
      </rPr>
      <t>μ</t>
    </r>
    <r>
      <rPr>
        <b/>
        <vertAlign val="subscript"/>
        <sz val="11"/>
        <color theme="3"/>
        <rFont val="Calibri"/>
        <family val="2"/>
      </rPr>
      <t>1</t>
    </r>
    <r>
      <rPr>
        <b/>
        <sz val="11"/>
        <color theme="1"/>
        <rFont val="Calibri"/>
        <family val="2"/>
      </rPr>
      <t xml:space="preserve"> + </t>
    </r>
    <r>
      <rPr>
        <b/>
        <sz val="11"/>
        <color rgb="FFFF0000"/>
        <rFont val="Calibri"/>
        <family val="2"/>
      </rPr>
      <t>μ</t>
    </r>
    <r>
      <rPr>
        <b/>
        <vertAlign val="subscript"/>
        <sz val="11"/>
        <color rgb="FFFF0000"/>
        <rFont val="Calibri"/>
        <family val="2"/>
      </rPr>
      <t>2</t>
    </r>
  </si>
  <si>
    <r>
      <t>X</t>
    </r>
    <r>
      <rPr>
        <vertAlign val="subscript"/>
        <sz val="11"/>
        <color theme="1"/>
        <rFont val="Calibri"/>
        <family val="2"/>
        <scheme val="minor"/>
      </rPr>
      <t>1</t>
    </r>
  </si>
  <si>
    <r>
      <t>X</t>
    </r>
    <r>
      <rPr>
        <vertAlign val="subscript"/>
        <sz val="11"/>
        <color theme="1"/>
        <rFont val="Calibri"/>
        <family val="2"/>
        <scheme val="minor"/>
      </rPr>
      <t>2</t>
    </r>
  </si>
  <si>
    <r>
      <t xml:space="preserve">SOM   </t>
    </r>
    <r>
      <rPr>
        <b/>
        <sz val="11"/>
        <color theme="1"/>
        <rFont val="Calibri"/>
        <family val="2"/>
      </rPr>
      <t>X</t>
    </r>
    <r>
      <rPr>
        <b/>
        <vertAlign val="subscript"/>
        <sz val="11"/>
        <color theme="1"/>
        <rFont val="Calibri"/>
        <family val="2"/>
      </rPr>
      <t>s</t>
    </r>
    <r>
      <rPr>
        <b/>
        <sz val="11"/>
        <color theme="1"/>
        <rFont val="Calibri"/>
        <family val="2"/>
      </rPr>
      <t xml:space="preserve"> = (</t>
    </r>
    <r>
      <rPr>
        <b/>
        <sz val="11"/>
        <color theme="3"/>
        <rFont val="Calibri"/>
        <family val="2"/>
      </rPr>
      <t>X</t>
    </r>
    <r>
      <rPr>
        <b/>
        <vertAlign val="subscript"/>
        <sz val="11"/>
        <color theme="3"/>
        <rFont val="Calibri"/>
        <family val="2"/>
      </rPr>
      <t>1</t>
    </r>
    <r>
      <rPr>
        <b/>
        <sz val="11"/>
        <color theme="1"/>
        <rFont val="Calibri"/>
        <family val="2"/>
      </rPr>
      <t xml:space="preserve"> + </t>
    </r>
    <r>
      <rPr>
        <b/>
        <sz val="11"/>
        <color rgb="FFFF0000"/>
        <rFont val="Calibri"/>
        <family val="2"/>
      </rPr>
      <t>X</t>
    </r>
    <r>
      <rPr>
        <b/>
        <vertAlign val="subscript"/>
        <sz val="11"/>
        <color rgb="FFFF0000"/>
        <rFont val="Calibri"/>
        <family val="2"/>
      </rPr>
      <t>2</t>
    </r>
    <r>
      <rPr>
        <b/>
        <sz val="11"/>
        <color rgb="FFFF0000"/>
        <rFont val="Calibri"/>
        <family val="2"/>
      </rPr>
      <t xml:space="preserve">) </t>
    </r>
  </si>
  <si>
    <r>
      <t>VERSCHIL X</t>
    </r>
    <r>
      <rPr>
        <b/>
        <vertAlign val="subscript"/>
        <sz val="11"/>
        <color theme="1"/>
        <rFont val="Calibri"/>
        <family val="2"/>
        <scheme val="minor"/>
      </rPr>
      <t>v</t>
    </r>
    <r>
      <rPr>
        <b/>
        <sz val="11"/>
        <color theme="1"/>
        <rFont val="Calibri"/>
        <family val="2"/>
        <scheme val="minor"/>
      </rPr>
      <t xml:space="preserve"> = (</t>
    </r>
    <r>
      <rPr>
        <b/>
        <sz val="11"/>
        <color rgb="FFFF0000"/>
        <rFont val="Calibri"/>
        <family val="2"/>
        <scheme val="minor"/>
      </rPr>
      <t>X</t>
    </r>
    <r>
      <rPr>
        <b/>
        <vertAlign val="subscript"/>
        <sz val="11"/>
        <color rgb="FFFF0000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-</t>
    </r>
    <r>
      <rPr>
        <b/>
        <sz val="11"/>
        <color theme="3"/>
        <rFont val="Calibri"/>
        <family val="2"/>
        <scheme val="minor"/>
      </rPr>
      <t>X</t>
    </r>
    <r>
      <rPr>
        <b/>
        <vertAlign val="subscript"/>
        <sz val="11"/>
        <color theme="3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)</t>
    </r>
  </si>
  <si>
    <t>LET OP VERSCHIL</t>
  </si>
  <si>
    <t>ALS a=b=p=q</t>
  </si>
  <si>
    <t>EN VERSCHIL</t>
  </si>
  <si>
    <r>
      <t>SOM   X</t>
    </r>
    <r>
      <rPr>
        <b/>
        <vertAlign val="subscript"/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 xml:space="preserve"> = (X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+ X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) </t>
    </r>
    <r>
      <rPr>
        <b/>
        <u/>
        <sz val="11"/>
        <color theme="1"/>
        <rFont val="Calibri"/>
        <family val="2"/>
        <scheme val="minor"/>
      </rPr>
      <t>+</t>
    </r>
    <r>
      <rPr>
        <b/>
        <sz val="11"/>
        <color theme="1"/>
        <rFont val="Calibri"/>
        <family val="2"/>
        <scheme val="minor"/>
      </rPr>
      <t xml:space="preserve"> 2a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</si>
  <si>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 xml:space="preserve">v </t>
    </r>
    <r>
      <rPr>
        <b/>
        <sz val="11"/>
        <color theme="1"/>
        <rFont val="Calibri"/>
        <family val="2"/>
        <scheme val="minor"/>
      </rPr>
      <t>= (X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- X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)  </t>
    </r>
    <r>
      <rPr>
        <b/>
        <u/>
        <sz val="11"/>
        <color theme="1"/>
        <rFont val="Calibri"/>
        <family val="2"/>
        <scheme val="minor"/>
      </rPr>
      <t>+</t>
    </r>
    <r>
      <rPr>
        <b/>
        <sz val="11"/>
        <color theme="1"/>
        <rFont val="Calibri"/>
        <family val="2"/>
        <scheme val="minor"/>
      </rPr>
      <t xml:space="preserve"> 2a</t>
    </r>
  </si>
  <si>
    <t>SOM</t>
  </si>
  <si>
    <t>VERSCHIL</t>
  </si>
  <si>
    <t>DECIMALEN VAN ALLE GETALLEN (TERMEN)</t>
  </si>
  <si>
    <t>PRODUCT</t>
  </si>
  <si>
    <t>SIGNIFICANTE CIJFERS VAN ALLE GETALLEN (FACTOREN)</t>
  </si>
  <si>
    <t>Het laatste significante cijfer is onzeker.</t>
  </si>
  <si>
    <t>De onzekerheid =</t>
  </si>
  <si>
    <t>Som</t>
  </si>
  <si>
    <t>Verschil</t>
  </si>
  <si>
    <t>Product</t>
  </si>
  <si>
    <t>Quotient</t>
  </si>
  <si>
    <t>met C = A + B en c = (a + b)</t>
  </si>
  <si>
    <t>met C = A - B en c = (a + b)</t>
  </si>
  <si>
    <t>met C = A * B en c = (B*a + A*b) en te verwaarlozen fout</t>
  </si>
  <si>
    <t>met C = A / B en c = (B*a - A*b) / B^2 en te verwaarlozen fout</t>
  </si>
  <si>
    <t>HIERONDER ZIJN DE SOM EN HET VERSCHIL MEER ALGEMEEN WEERGEGEVEN</t>
  </si>
  <si>
    <r>
      <t xml:space="preserve">Getal = A </t>
    </r>
    <r>
      <rPr>
        <b/>
        <u/>
        <sz val="11"/>
        <rFont val="Calibri"/>
        <family val="2"/>
        <scheme val="minor"/>
      </rPr>
      <t>+</t>
    </r>
    <r>
      <rPr>
        <b/>
        <sz val="11"/>
        <rFont val="Calibri"/>
        <family val="2"/>
        <scheme val="minor"/>
      </rPr>
      <t xml:space="preserve"> a</t>
    </r>
  </si>
  <si>
    <r>
      <t xml:space="preserve"> </t>
    </r>
    <r>
      <rPr>
        <b/>
        <u/>
        <sz val="11"/>
        <rFont val="Calibri"/>
        <family val="2"/>
        <scheme val="minor"/>
      </rPr>
      <t>+</t>
    </r>
    <r>
      <rPr>
        <b/>
        <sz val="11"/>
        <rFont val="Calibri"/>
        <family val="2"/>
        <scheme val="minor"/>
      </rPr>
      <t xml:space="preserve"> halve waarde van de positie van dat laatste cijfer</t>
    </r>
  </si>
  <si>
    <r>
      <t xml:space="preserve">10 </t>
    </r>
    <r>
      <rPr>
        <b/>
        <u/>
        <sz val="11"/>
        <rFont val="Calibri"/>
        <family val="2"/>
        <scheme val="minor"/>
      </rPr>
      <t>+</t>
    </r>
    <r>
      <rPr>
        <b/>
        <sz val="11"/>
        <rFont val="Calibri"/>
        <family val="2"/>
        <scheme val="minor"/>
      </rPr>
      <t xml:space="preserve"> 0,5</t>
    </r>
  </si>
  <si>
    <r>
      <t xml:space="preserve">(A </t>
    </r>
    <r>
      <rPr>
        <b/>
        <u/>
        <sz val="11"/>
        <rFont val="Calibri"/>
        <family val="2"/>
        <scheme val="minor"/>
      </rPr>
      <t>+</t>
    </r>
    <r>
      <rPr>
        <b/>
        <sz val="11"/>
        <rFont val="Calibri"/>
        <family val="2"/>
        <scheme val="minor"/>
      </rPr>
      <t xml:space="preserve"> a) + (B </t>
    </r>
    <r>
      <rPr>
        <b/>
        <u/>
        <sz val="11"/>
        <rFont val="Calibri"/>
        <family val="2"/>
        <scheme val="minor"/>
      </rPr>
      <t>+</t>
    </r>
    <r>
      <rPr>
        <b/>
        <sz val="11"/>
        <rFont val="Calibri"/>
        <family val="2"/>
        <scheme val="minor"/>
      </rPr>
      <t xml:space="preserve"> b) = C </t>
    </r>
    <r>
      <rPr>
        <b/>
        <u/>
        <sz val="11"/>
        <rFont val="Calibri"/>
        <family val="2"/>
        <scheme val="minor"/>
      </rPr>
      <t>+</t>
    </r>
    <r>
      <rPr>
        <b/>
        <sz val="11"/>
        <rFont val="Calibri"/>
        <family val="2"/>
        <scheme val="minor"/>
      </rPr>
      <t xml:space="preserve"> c</t>
    </r>
  </si>
  <si>
    <r>
      <t xml:space="preserve">(A </t>
    </r>
    <r>
      <rPr>
        <b/>
        <u/>
        <sz val="11"/>
        <rFont val="Calibri"/>
        <family val="2"/>
        <scheme val="minor"/>
      </rPr>
      <t>+</t>
    </r>
    <r>
      <rPr>
        <b/>
        <sz val="11"/>
        <rFont val="Calibri"/>
        <family val="2"/>
        <scheme val="minor"/>
      </rPr>
      <t xml:space="preserve"> a) - (B </t>
    </r>
    <r>
      <rPr>
        <b/>
        <u/>
        <sz val="11"/>
        <rFont val="Calibri"/>
        <family val="2"/>
        <scheme val="minor"/>
      </rPr>
      <t>+</t>
    </r>
    <r>
      <rPr>
        <b/>
        <sz val="11"/>
        <rFont val="Calibri"/>
        <family val="2"/>
        <scheme val="minor"/>
      </rPr>
      <t xml:space="preserve"> b) = C </t>
    </r>
    <r>
      <rPr>
        <b/>
        <u/>
        <sz val="11"/>
        <rFont val="Calibri"/>
        <family val="2"/>
        <scheme val="minor"/>
      </rPr>
      <t>+</t>
    </r>
    <r>
      <rPr>
        <b/>
        <sz val="11"/>
        <rFont val="Calibri"/>
        <family val="2"/>
        <scheme val="minor"/>
      </rPr>
      <t xml:space="preserve"> c</t>
    </r>
  </si>
  <si>
    <r>
      <t xml:space="preserve">(A </t>
    </r>
    <r>
      <rPr>
        <b/>
        <u/>
        <sz val="11"/>
        <rFont val="Calibri"/>
        <family val="2"/>
        <scheme val="minor"/>
      </rPr>
      <t>+</t>
    </r>
    <r>
      <rPr>
        <b/>
        <sz val="11"/>
        <rFont val="Calibri"/>
        <family val="2"/>
        <scheme val="minor"/>
      </rPr>
      <t xml:space="preserve"> a) * (B </t>
    </r>
    <r>
      <rPr>
        <b/>
        <u/>
        <sz val="11"/>
        <rFont val="Calibri"/>
        <family val="2"/>
        <scheme val="minor"/>
      </rPr>
      <t>+</t>
    </r>
    <r>
      <rPr>
        <b/>
        <sz val="11"/>
        <rFont val="Calibri"/>
        <family val="2"/>
        <scheme val="minor"/>
      </rPr>
      <t xml:space="preserve"> b) = C </t>
    </r>
    <r>
      <rPr>
        <b/>
        <u/>
        <sz val="11"/>
        <rFont val="Calibri"/>
        <family val="2"/>
        <scheme val="minor"/>
      </rPr>
      <t>+</t>
    </r>
    <r>
      <rPr>
        <b/>
        <sz val="11"/>
        <rFont val="Calibri"/>
        <family val="2"/>
        <scheme val="minor"/>
      </rPr>
      <t xml:space="preserve"> c</t>
    </r>
  </si>
  <si>
    <r>
      <t xml:space="preserve">(A </t>
    </r>
    <r>
      <rPr>
        <b/>
        <u/>
        <sz val="11"/>
        <rFont val="Calibri"/>
        <family val="2"/>
        <scheme val="minor"/>
      </rPr>
      <t>+</t>
    </r>
    <r>
      <rPr>
        <b/>
        <sz val="11"/>
        <rFont val="Calibri"/>
        <family val="2"/>
        <scheme val="minor"/>
      </rPr>
      <t xml:space="preserve"> a) / (B </t>
    </r>
    <r>
      <rPr>
        <b/>
        <u/>
        <sz val="11"/>
        <rFont val="Calibri"/>
        <family val="2"/>
        <scheme val="minor"/>
      </rPr>
      <t>+</t>
    </r>
    <r>
      <rPr>
        <b/>
        <sz val="11"/>
        <rFont val="Calibri"/>
        <family val="2"/>
        <scheme val="minor"/>
      </rPr>
      <t xml:space="preserve"> b) = C </t>
    </r>
    <r>
      <rPr>
        <b/>
        <u/>
        <sz val="11"/>
        <rFont val="Calibri"/>
        <family val="2"/>
        <scheme val="minor"/>
      </rPr>
      <t>+</t>
    </r>
    <r>
      <rPr>
        <b/>
        <sz val="11"/>
        <rFont val="Calibri"/>
        <family val="2"/>
        <scheme val="minor"/>
      </rPr>
      <t xml:space="preserve"> c</t>
    </r>
  </si>
  <si>
    <r>
      <t xml:space="preserve">Procentuele fout = </t>
    </r>
    <r>
      <rPr>
        <b/>
        <u/>
        <sz val="11"/>
        <color theme="1"/>
        <rFont val="Calibri"/>
        <family val="2"/>
        <scheme val="minor"/>
      </rPr>
      <t>+</t>
    </r>
    <r>
      <rPr>
        <b/>
        <sz val="11"/>
        <color theme="1"/>
        <rFont val="Calibri"/>
        <family val="2"/>
        <scheme val="minor"/>
      </rPr>
      <t xml:space="preserve"> 100*a/A   (%)</t>
    </r>
  </si>
  <si>
    <r>
      <t xml:space="preserve">Absolute fout        = </t>
    </r>
    <r>
      <rPr>
        <b/>
        <u/>
        <sz val="11"/>
        <color theme="1"/>
        <rFont val="Calibri"/>
        <family val="2"/>
        <scheme val="minor"/>
      </rPr>
      <t>+</t>
    </r>
    <r>
      <rPr>
        <b/>
        <sz val="11"/>
        <color theme="1"/>
        <rFont val="Calibri"/>
        <family val="2"/>
        <scheme val="minor"/>
      </rPr>
      <t xml:space="preserve"> a        </t>
    </r>
  </si>
  <si>
    <r>
      <t xml:space="preserve">Relatieve fout       = </t>
    </r>
    <r>
      <rPr>
        <b/>
        <u/>
        <sz val="11"/>
        <color theme="1"/>
        <rFont val="Calibri"/>
        <family val="2"/>
        <scheme val="minor"/>
      </rPr>
      <t>+</t>
    </r>
    <r>
      <rPr>
        <b/>
        <sz val="11"/>
        <color theme="1"/>
        <rFont val="Calibri"/>
        <family val="2"/>
        <scheme val="minor"/>
      </rPr>
      <t xml:space="preserve"> a/A      </t>
    </r>
  </si>
  <si>
    <t>(Eenheid hetzelfde als van A)</t>
  </si>
  <si>
    <t>(geen eenheid, dimensieloos)</t>
  </si>
  <si>
    <t>EN DAARNA VERWAARLOZING VAN DE RELATIEF KLEINE TERMEN</t>
  </si>
  <si>
    <t xml:space="preserve">  QUOTIENT</t>
  </si>
  <si>
    <t>A + B</t>
  </si>
  <si>
    <t>A - B</t>
  </si>
  <si>
    <t>A * B</t>
  </si>
  <si>
    <t>A / B</t>
  </si>
  <si>
    <t>μ = GEMIDDELDE</t>
  </si>
  <si>
    <t>σ = STANDAARDAFWIJKING</t>
  </si>
  <si>
    <t>Bv:  10</t>
  </si>
  <si>
    <t>DE KANS P (X1 &lt; X &lt; X2) = OPPERVLAKTE ONDER KANSDICHTHEIDS CURVE (DE KLOKVORM) TUSSEN X1 EN X2</t>
  </si>
  <si>
    <t>WAARDE#</t>
  </si>
  <si>
    <t xml:space="preserve">GEM X= </t>
  </si>
  <si>
    <r>
      <t>DEV</t>
    </r>
    <r>
      <rPr>
        <b/>
        <vertAlign val="superscript"/>
        <sz val="11"/>
        <color theme="1"/>
        <rFont val="Calibri"/>
        <family val="2"/>
      </rPr>
      <t>2</t>
    </r>
  </si>
  <si>
    <t>= VAR</t>
  </si>
  <si>
    <t>= 2</t>
  </si>
  <si>
    <t>GEM</t>
  </si>
  <si>
    <r>
      <t>σ</t>
    </r>
    <r>
      <rPr>
        <b/>
        <vertAlign val="subscript"/>
        <sz val="11"/>
        <color theme="1"/>
        <rFont val="Calibri"/>
        <family val="2"/>
      </rPr>
      <t>x</t>
    </r>
    <r>
      <rPr>
        <b/>
        <sz val="11"/>
        <color theme="1"/>
        <rFont val="Calibri"/>
        <family val="2"/>
      </rPr>
      <t xml:space="preserve"> =</t>
    </r>
  </si>
  <si>
    <r>
      <t>X - σ</t>
    </r>
    <r>
      <rPr>
        <b/>
        <vertAlign val="subscript"/>
        <sz val="11"/>
        <color theme="1"/>
        <rFont val="Calibri"/>
        <family val="2"/>
      </rPr>
      <t>x</t>
    </r>
  </si>
  <si>
    <r>
      <t xml:space="preserve">X + </t>
    </r>
    <r>
      <rPr>
        <b/>
        <sz val="11"/>
        <color theme="1"/>
        <rFont val="Calibri"/>
        <family val="2"/>
      </rPr>
      <t>σ</t>
    </r>
    <r>
      <rPr>
        <b/>
        <vertAlign val="subscript"/>
        <sz val="11"/>
        <color theme="1"/>
        <rFont val="Calibri"/>
        <family val="2"/>
      </rPr>
      <t>x</t>
    </r>
  </si>
  <si>
    <t>http://www.wiskundebijles.nl/statistiek/normaleverdeling1/nomverdberekening_met_excel1.htm</t>
  </si>
  <si>
    <t>http://www.wiskundebijles.nl/statistiek/normaleverdeling1/gem_stdafw_tweekansengegeven%20met%20excel.htm</t>
  </si>
  <si>
    <t xml:space="preserve">DE KLOKVORM, DE BEL, GAUSS KROMME </t>
  </si>
  <si>
    <t>VERDER OMLAAG STAAT AANVULLENDE INFORMATIE OVER DE DRIE VERSCHILLENDE MANIEREN OM DIT TE BEREKENEN</t>
  </si>
  <si>
    <t>HIERBIJ GEBRUIK JE DE EXCEL FUNCTIES   NORM.VERD EN NORMINV</t>
  </si>
  <si>
    <t xml:space="preserve">ZIE OOK </t>
  </si>
  <si>
    <t>EN</t>
  </si>
  <si>
    <t xml:space="preserve"> </t>
  </si>
  <si>
    <t>DEZE VERGELIJK JE MET DIE VOOR EEN BIJPASSENDE NORMALE VERDELING</t>
  </si>
  <si>
    <t>BIJ GROTE AANTALLEN HEB JE ALTIJD TE MAKEN MET NORMALE VERDELINGEN, BIJVOORBEELD LEEFTIJD, LENGTE, GEWICHT</t>
  </si>
  <si>
    <r>
      <rPr>
        <b/>
        <sz val="11"/>
        <color theme="1"/>
        <rFont val="Calibri"/>
        <family val="2"/>
      </rPr>
      <t xml:space="preserve">∑ </t>
    </r>
    <r>
      <rPr>
        <b/>
        <sz val="11"/>
        <color theme="1"/>
        <rFont val="Calibri"/>
        <family val="2"/>
        <scheme val="minor"/>
      </rPr>
      <t>(DEVIATIES)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</si>
  <si>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=GEMIDDELDE(A4:A13)</t>
  </si>
  <si>
    <t>=STDEVP(B4:B13)</t>
  </si>
  <si>
    <t>=GEMIDDELDE(B4:B13)</t>
  </si>
  <si>
    <t>=SNIJPUNT(B4:B13;A4:A13)</t>
  </si>
  <si>
    <t>=RICHTING(B4:B13;A4:A13)</t>
  </si>
  <si>
    <t>=SNIJPUNT(A4:A13;B4:B13)</t>
  </si>
  <si>
    <t>=RICHTING(A4:A13;B4:B13)</t>
  </si>
  <si>
    <r>
      <t>b</t>
    </r>
    <r>
      <rPr>
        <b/>
        <vertAlign val="subscript"/>
        <sz val="11"/>
        <color theme="1"/>
        <rFont val="Calibri"/>
        <family val="2"/>
        <scheme val="minor"/>
      </rPr>
      <t>yx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</si>
  <si>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xy</t>
    </r>
  </si>
  <si>
    <r>
      <t>b</t>
    </r>
    <r>
      <rPr>
        <b/>
        <vertAlign val="subscript"/>
        <sz val="11"/>
        <color theme="1"/>
        <rFont val="Calibri"/>
        <family val="2"/>
        <scheme val="minor"/>
      </rPr>
      <t>xy</t>
    </r>
  </si>
  <si>
    <r>
      <t>σ</t>
    </r>
    <r>
      <rPr>
        <b/>
        <vertAlign val="subscript"/>
        <sz val="11"/>
        <color theme="1"/>
        <rFont val="Calibri"/>
        <family val="2"/>
      </rPr>
      <t>y</t>
    </r>
  </si>
  <si>
    <r>
      <t>b</t>
    </r>
    <r>
      <rPr>
        <b/>
        <vertAlign val="subscript"/>
        <sz val="11"/>
        <color theme="1"/>
        <rFont val="Calibri"/>
        <family val="2"/>
        <scheme val="minor"/>
      </rPr>
      <t>inv</t>
    </r>
  </si>
  <si>
    <t>= 1 / axy</t>
  </si>
  <si>
    <r>
      <t>a</t>
    </r>
    <r>
      <rPr>
        <b/>
        <vertAlign val="subscript"/>
        <sz val="11"/>
        <color theme="1"/>
        <rFont val="Calibri"/>
        <family val="2"/>
        <scheme val="minor"/>
      </rPr>
      <t>inv</t>
    </r>
  </si>
  <si>
    <t>r</t>
  </si>
  <si>
    <r>
      <t>r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</si>
  <si>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σ</t>
    </r>
    <r>
      <rPr>
        <b/>
        <vertAlign val="subscript"/>
        <sz val="11"/>
        <color rgb="FF0070C0"/>
        <rFont val="Calibri"/>
        <family val="2"/>
        <scheme val="minor"/>
      </rPr>
      <t xml:space="preserve">dy </t>
    </r>
  </si>
  <si>
    <r>
      <t>= σ</t>
    </r>
    <r>
      <rPr>
        <b/>
        <vertAlign val="subscript"/>
        <sz val="11"/>
        <color rgb="FF0070C0"/>
        <rFont val="Calibri"/>
        <family val="2"/>
        <scheme val="minor"/>
      </rPr>
      <t>y</t>
    </r>
    <r>
      <rPr>
        <b/>
        <sz val="11"/>
        <color rgb="FF0070C0"/>
        <rFont val="Calibri"/>
        <family val="2"/>
        <scheme val="minor"/>
      </rPr>
      <t>*√(1-r</t>
    </r>
    <r>
      <rPr>
        <b/>
        <vertAlign val="superscript"/>
        <sz val="11"/>
        <color rgb="FF0070C0"/>
        <rFont val="Calibri"/>
        <family val="2"/>
        <scheme val="minor"/>
      </rPr>
      <t>2</t>
    </r>
    <r>
      <rPr>
        <b/>
        <sz val="11"/>
        <color rgb="FF0070C0"/>
        <rFont val="Calibri"/>
        <family val="2"/>
        <scheme val="minor"/>
      </rPr>
      <t>)</t>
    </r>
  </si>
  <si>
    <r>
      <t>σ</t>
    </r>
    <r>
      <rPr>
        <b/>
        <vertAlign val="subscript"/>
        <sz val="11"/>
        <color rgb="FFFF0000"/>
        <rFont val="Calibri"/>
        <family val="2"/>
        <scheme val="minor"/>
      </rPr>
      <t xml:space="preserve">dx </t>
    </r>
  </si>
  <si>
    <r>
      <t>= σ</t>
    </r>
    <r>
      <rPr>
        <b/>
        <vertAlign val="subscript"/>
        <sz val="11"/>
        <color rgb="FFFF0000"/>
        <rFont val="Calibri"/>
        <family val="2"/>
        <scheme val="minor"/>
      </rPr>
      <t>x</t>
    </r>
    <r>
      <rPr>
        <b/>
        <sz val="11"/>
        <color rgb="FFFF0000"/>
        <rFont val="Calibri"/>
        <family val="2"/>
        <scheme val="minor"/>
      </rPr>
      <t>*√(1-r</t>
    </r>
    <r>
      <rPr>
        <b/>
        <vertAlign val="superscript"/>
        <sz val="11"/>
        <color rgb="FFFF0000"/>
        <rFont val="Calibri"/>
        <family val="2"/>
        <scheme val="minor"/>
      </rPr>
      <t>2</t>
    </r>
    <r>
      <rPr>
        <b/>
        <sz val="11"/>
        <color rgb="FFFF0000"/>
        <rFont val="Calibri"/>
        <family val="2"/>
        <scheme val="minor"/>
      </rPr>
      <t>)</t>
    </r>
  </si>
  <si>
    <t>Y OP X</t>
  </si>
  <si>
    <t>X OP Y</t>
  </si>
  <si>
    <t>CORRELATIE IS EEN MAAT VOOR HOE LINEAIR DE RELATIE IS</t>
  </si>
  <si>
    <t>BIJ r=1 IS RELATIE 100% LINEAIR</t>
  </si>
  <si>
    <t>BIJ r=0 IS ER GEEN ENKELE LINEAIRE RELATIE, MAAR</t>
  </si>
  <si>
    <t>KAN ER WEL EEN NIET LINEAIRE RELATIE BESTAAN</t>
  </si>
  <si>
    <t>LINEAIRE CORRELATIE</t>
  </si>
  <si>
    <t>TABEL RECHTS GEEFT VERDERE CONSTRUCTIE GRAFIEK</t>
  </si>
  <si>
    <t>IN EXCEL       VOOR MEETWAARDEN (Y,X)</t>
  </si>
  <si>
    <t>LINEAIRE CORRELATIE EN REGRESSIE</t>
  </si>
  <si>
    <r>
      <t>Y</t>
    </r>
    <r>
      <rPr>
        <b/>
        <vertAlign val="subscript"/>
        <sz val="11"/>
        <color theme="1"/>
        <rFont val="Calibri"/>
        <family val="2"/>
      </rPr>
      <t>g</t>
    </r>
    <r>
      <rPr>
        <b/>
        <sz val="11"/>
        <color theme="1"/>
        <rFont val="Calibri"/>
        <family val="2"/>
      </rPr>
      <t xml:space="preserve"> = Y</t>
    </r>
  </si>
  <si>
    <r>
      <t>X</t>
    </r>
    <r>
      <rPr>
        <b/>
        <vertAlign val="subscript"/>
        <sz val="11"/>
        <color theme="1"/>
        <rFont val="Calibri"/>
        <family val="2"/>
      </rPr>
      <t>g</t>
    </r>
    <r>
      <rPr>
        <b/>
        <sz val="11"/>
        <color theme="1"/>
        <rFont val="Calibri"/>
        <family val="2"/>
      </rPr>
      <t xml:space="preserve"> = X</t>
    </r>
  </si>
  <si>
    <r>
      <t>= a</t>
    </r>
    <r>
      <rPr>
        <b/>
        <vertAlign val="subscript"/>
        <sz val="11"/>
        <color theme="1"/>
        <rFont val="Calibri"/>
        <family val="2"/>
        <scheme val="minor"/>
      </rPr>
      <t xml:space="preserve">xy </t>
    </r>
    <r>
      <rPr>
        <b/>
        <sz val="11"/>
        <color theme="1"/>
        <rFont val="Calibri"/>
        <family val="2"/>
        <scheme val="minor"/>
      </rPr>
      <t>* a</t>
    </r>
    <r>
      <rPr>
        <b/>
        <vertAlign val="subscript"/>
        <sz val="11"/>
        <color theme="1"/>
        <rFont val="Calibri"/>
        <family val="2"/>
        <scheme val="minor"/>
      </rPr>
      <t>yx</t>
    </r>
  </si>
  <si>
    <t>ZIE VERDER O.A. GETAL EN RUIMTE BOEKJE    LINEAIRE CORRELATIE EN REGRESSIE</t>
  </si>
  <si>
    <t>VOORBEELD</t>
  </si>
  <si>
    <t>FORMULES VIND JE ONDER FORMULES, MEER FUNCTIES, STATISTIEK</t>
  </si>
  <si>
    <t xml:space="preserve">P ( X&lt; R) = </t>
  </si>
  <si>
    <r>
      <t>=NORM.VERD(R;</t>
    </r>
    <r>
      <rPr>
        <b/>
        <sz val="11"/>
        <color theme="1"/>
        <rFont val="Calibri"/>
        <family val="2"/>
      </rPr>
      <t>μ;σ;</t>
    </r>
    <r>
      <rPr>
        <b/>
        <sz val="11"/>
        <color theme="1"/>
        <rFont val="Calibri"/>
        <family val="2"/>
        <scheme val="minor"/>
      </rPr>
      <t>1)</t>
    </r>
  </si>
  <si>
    <t xml:space="preserve">=NORM.VERD(0;0;1;1)= </t>
  </si>
  <si>
    <t xml:space="preserve">=NORM.INV(0,5;0;1)= </t>
  </si>
  <si>
    <r>
      <t>=NORM.INV(P(X&lt;R);</t>
    </r>
    <r>
      <rPr>
        <b/>
        <sz val="11"/>
        <color theme="1"/>
        <rFont val="Calibri"/>
        <family val="2"/>
      </rPr>
      <t>μ;σ</t>
    </r>
    <r>
      <rPr>
        <b/>
        <sz val="11"/>
        <color theme="1"/>
        <rFont val="Calibri"/>
        <family val="2"/>
        <scheme val="minor"/>
      </rPr>
      <t xml:space="preserve">)= </t>
    </r>
  </si>
  <si>
    <t>R =</t>
  </si>
  <si>
    <t>BIJ STANDAARD NORMALE VERDELING</t>
  </si>
  <si>
    <t>ZIE OOK ONDERAAN WERKBLAD FVP</t>
  </si>
  <si>
    <t>ALTIJD 0</t>
  </si>
  <si>
    <t>X = GEMIDDELDE(B12:B17)</t>
  </si>
  <si>
    <t>σ = STDEVP(B12:B17) =</t>
  </si>
  <si>
    <r>
      <t xml:space="preserve">BIJ SOM VAN n UIT DEZELFDE VERDELING  </t>
    </r>
    <r>
      <rPr>
        <b/>
        <sz val="11"/>
        <color theme="1"/>
        <rFont val="Calibri"/>
        <family val="2"/>
      </rPr>
      <t>μ</t>
    </r>
    <r>
      <rPr>
        <b/>
        <vertAlign val="subscript"/>
        <sz val="11"/>
        <color theme="1"/>
        <rFont val="Calibri"/>
        <family val="2"/>
      </rPr>
      <t>s</t>
    </r>
    <r>
      <rPr>
        <b/>
        <sz val="11"/>
        <color theme="1"/>
        <rFont val="Calibri"/>
        <family val="2"/>
      </rPr>
      <t xml:space="preserve"> = n* μ  EN σ</t>
    </r>
    <r>
      <rPr>
        <b/>
        <vertAlign val="subscript"/>
        <sz val="11"/>
        <color theme="1"/>
        <rFont val="Calibri"/>
        <family val="2"/>
      </rPr>
      <t xml:space="preserve">s </t>
    </r>
    <r>
      <rPr>
        <b/>
        <sz val="11"/>
        <color theme="1"/>
        <rFont val="Calibri"/>
        <family val="2"/>
      </rPr>
      <t>= √n  * σ</t>
    </r>
  </si>
  <si>
    <t>BREDER DUS LAGER</t>
  </si>
  <si>
    <t xml:space="preserve">BIJ EENVOUDIGE EXPONENTIELE EN LOGARITMISCHE FUNCTIES KAN GEBRUIK WORDEN GEMAAKT VAN </t>
  </si>
  <si>
    <t xml:space="preserve">POLYNOMEN DIE ZIJN GEBASEERD OP DE BIJBEHORENDE REEKSEN </t>
  </si>
  <si>
    <t xml:space="preserve">VERVOLGENS KUNNEN DE POLYNOMEN WORDEN TERUGGEREKEND NAAR PARAMETERS VOOR DE </t>
  </si>
  <si>
    <t xml:space="preserve">EXPONENTIELE EN LOGARITMISCHE FUNCTIES </t>
  </si>
  <si>
    <t>NIET WORDEN TERUGGEREKEND, TENZIJ ELKE TERM APART IN DE MATRIX WORDT OPGENOMEN</t>
  </si>
  <si>
    <t>Bij berekenen gemiddelde en standaardafwijking altijd de middengrens gebruiken</t>
  </si>
  <si>
    <t xml:space="preserve">Methode 1: Op basis van individuele getallen </t>
  </si>
  <si>
    <t>Gem = som getallen / aantal getallen</t>
  </si>
  <si>
    <t>Stand. Afw. = wortel (som  deviaties in het kwadraat / aantal getallen)</t>
  </si>
  <si>
    <t xml:space="preserve">Methode 1: Op basis van frequentie </t>
  </si>
  <si>
    <t>Gem = som freq. *getal / som frequenties</t>
  </si>
  <si>
    <t>Stand. Afw. = wortel (som van freq*deviaties in het kwadraat / som freq)</t>
  </si>
  <si>
    <t>Methode 1: Op basis van relatieve frequentie = kans</t>
  </si>
  <si>
    <t>Gem = som getal*relatieve ferquentie</t>
  </si>
  <si>
    <t>Stand. Afw. = wortel (som relatieve freq*deviatie in het kwadraat)</t>
  </si>
  <si>
    <t>Relatieve frquentie = kans</t>
  </si>
  <si>
    <t>gem = E(x) = verwachtingswaarde</t>
  </si>
  <si>
    <t>Bij berekenen voor L1 de middengrens gebruiken</t>
  </si>
  <si>
    <t>Vars Stat</t>
  </si>
  <si>
    <t>Edit</t>
  </si>
  <si>
    <t>Enter</t>
  </si>
  <si>
    <t>Lijsten L1 en L2 invullen  (Bij berekenen voor L1 de middengrens gebruiken!)</t>
  </si>
  <si>
    <t>methode 1</t>
  </si>
  <si>
    <t>L1 is getalwaarde en eventueel kun je L2 gebruiken voor getalnummer</t>
  </si>
  <si>
    <t>methode 2</t>
  </si>
  <si>
    <t>L1 is getalwaarde en L2 frequentie</t>
  </si>
  <si>
    <t>methode 3</t>
  </si>
  <si>
    <t>L1 = getalwaarde en L2 relatieve frequentie of kans</t>
  </si>
  <si>
    <t>Calc (dus Pijltje naar rechts) Enter</t>
  </si>
  <si>
    <t xml:space="preserve">1 Vars Stats </t>
  </si>
  <si>
    <t xml:space="preserve">    methode 1</t>
  </si>
  <si>
    <t xml:space="preserve">  2nd L1                  Enter</t>
  </si>
  <si>
    <t xml:space="preserve">    methodes 2 en 3 </t>
  </si>
  <si>
    <t xml:space="preserve">  2nd L1 , 2nd L2     Enter</t>
  </si>
  <si>
    <t>Gemiddelde = x met streepje erboven</t>
  </si>
  <si>
    <t>Standaardafwijking = σx</t>
  </si>
  <si>
    <t>Gedeeld door totaal aantal</t>
  </si>
  <si>
    <t>Ondergrens</t>
  </si>
  <si>
    <t>Bovengrens</t>
  </si>
  <si>
    <t>Middengrens</t>
  </si>
  <si>
    <t>Frequentie</t>
  </si>
  <si>
    <t>Cum freq</t>
  </si>
  <si>
    <t>Rel freq.</t>
  </si>
  <si>
    <t>Rel cum freq</t>
  </si>
  <si>
    <t>Aantal = N</t>
  </si>
  <si>
    <t xml:space="preserve"> mg*freq</t>
  </si>
  <si>
    <t>deviatie</t>
  </si>
  <si>
    <t xml:space="preserve"> N * dev</t>
  </si>
  <si>
    <t>N*dev^2</t>
  </si>
  <si>
    <t xml:space="preserve">Op basis </t>
  </si>
  <si>
    <t>groepen met</t>
  </si>
  <si>
    <t>aantal c.q. frequentie</t>
  </si>
  <si>
    <t xml:space="preserve">Bij berekenen gebruik </t>
  </si>
  <si>
    <t>je middengrens</t>
  </si>
  <si>
    <t xml:space="preserve"> = Variantie</t>
  </si>
  <si>
    <t>gemiddelde =</t>
  </si>
  <si>
    <t xml:space="preserve"> 4515 / 57</t>
  </si>
  <si>
    <t xml:space="preserve">   stand afw.  =</t>
  </si>
  <si>
    <r>
      <t xml:space="preserve">(7189,474 / </t>
    </r>
    <r>
      <rPr>
        <b/>
        <sz val="10"/>
        <rFont val="Arial"/>
        <family val="2"/>
      </rPr>
      <t>57</t>
    </r>
    <r>
      <rPr>
        <sz val="11"/>
        <color theme="1"/>
        <rFont val="Calibri"/>
        <family val="2"/>
        <scheme val="minor"/>
      </rPr>
      <t>)^0,5</t>
    </r>
  </si>
  <si>
    <t>=</t>
  </si>
  <si>
    <t>Methode 3</t>
  </si>
  <si>
    <t>Freq</t>
  </si>
  <si>
    <t>Rel Freq</t>
  </si>
  <si>
    <t xml:space="preserve"> mg*rel freq</t>
  </si>
  <si>
    <t xml:space="preserve"> Rel freq * dev^2</t>
  </si>
  <si>
    <t>realatieve frequentie</t>
  </si>
  <si>
    <t xml:space="preserve"> = Variantie / N</t>
  </si>
  <si>
    <t>Bij gebruik relatieve freqentie is er al gedeeld door N.</t>
  </si>
  <si>
    <t>Gemiddelde is som en voor standaard afwijking alleen nog wortel nemen</t>
  </si>
  <si>
    <t>x-en</t>
  </si>
  <si>
    <t>aantal</t>
  </si>
  <si>
    <t>deviatie(xi)</t>
  </si>
  <si>
    <t xml:space="preserve">   (dev(xi))^2</t>
  </si>
  <si>
    <t>individuele uitkomsten x</t>
  </si>
  <si>
    <t>Met n is groot</t>
  </si>
  <si>
    <t>x1</t>
  </si>
  <si>
    <t>(x1-xg)</t>
  </si>
  <si>
    <t xml:space="preserve">   (x1-xg)^2</t>
  </si>
  <si>
    <t>x2</t>
  </si>
  <si>
    <t>(x2-xg)</t>
  </si>
  <si>
    <t xml:space="preserve">   (x2-xg)^2</t>
  </si>
  <si>
    <t>Voorbeeld:</t>
  </si>
  <si>
    <t>x3</t>
  </si>
  <si>
    <t>(x3-xg)</t>
  </si>
  <si>
    <t xml:space="preserve">   (x3-xg)^2</t>
  </si>
  <si>
    <t xml:space="preserve">1000 keer gooien </t>
  </si>
  <si>
    <t>x4</t>
  </si>
  <si>
    <t>(x4-xg)</t>
  </si>
  <si>
    <t xml:space="preserve">   (x4-xg)^2</t>
  </si>
  <si>
    <t>met een dobbelsteen</t>
  </si>
  <si>
    <t>…</t>
  </si>
  <si>
    <t xml:space="preserve">     …</t>
  </si>
  <si>
    <t xml:space="preserve">       …</t>
  </si>
  <si>
    <t>met xa is aantal ogen bij</t>
  </si>
  <si>
    <t xml:space="preserve"> +  xn  </t>
  </si>
  <si>
    <t xml:space="preserve">   + 1</t>
  </si>
  <si>
    <t xml:space="preserve">+(xn-xg)  </t>
  </si>
  <si>
    <t>+</t>
  </si>
  <si>
    <t xml:space="preserve">   (xn-xg)^2</t>
  </si>
  <si>
    <t>gooi a</t>
  </si>
  <si>
    <t>n</t>
  </si>
  <si>
    <t xml:space="preserve">  Variantie x</t>
  </si>
  <si>
    <t>( Var is kwadratische eenheid)</t>
  </si>
  <si>
    <r>
      <t xml:space="preserve">Gemiddelde          </t>
    </r>
    <r>
      <rPr>
        <b/>
        <sz val="10"/>
        <rFont val="Arial"/>
        <family val="2"/>
      </rPr>
      <t>x=xg=</t>
    </r>
  </si>
  <si>
    <t>Standaard afwijking</t>
  </si>
  <si>
    <t xml:space="preserve">                               Gemiddelde uit som uitkomsten</t>
  </si>
  <si>
    <r>
      <t xml:space="preserve">t.o.v. </t>
    </r>
    <r>
      <rPr>
        <b/>
        <sz val="10"/>
        <rFont val="Arial"/>
        <family val="2"/>
      </rPr>
      <t>xg</t>
    </r>
  </si>
  <si>
    <t xml:space="preserve">                        gedeeld door totaal aantal uitkomsten n</t>
  </si>
  <si>
    <t>X-en</t>
  </si>
  <si>
    <t>aantal ni</t>
  </si>
  <si>
    <t>ni*Xi</t>
  </si>
  <si>
    <t>deviatie(Xi)</t>
  </si>
  <si>
    <t>(dev(Xi))^2</t>
  </si>
  <si>
    <t xml:space="preserve">  ni*(dev(Xi))^2  </t>
  </si>
  <si>
    <t>X1</t>
  </si>
  <si>
    <t>n1</t>
  </si>
  <si>
    <t>n1*X1</t>
  </si>
  <si>
    <t>(X1-Xg)</t>
  </si>
  <si>
    <t>(X1-Xg)^2</t>
  </si>
  <si>
    <t xml:space="preserve">   n1*(X1-Xg)^2</t>
  </si>
  <si>
    <r>
      <t>uitkomsten</t>
    </r>
    <r>
      <rPr>
        <b/>
        <sz val="10"/>
        <rFont val="Arial"/>
        <family val="2"/>
      </rPr>
      <t xml:space="preserve"> X</t>
    </r>
  </si>
  <si>
    <t>X2</t>
  </si>
  <si>
    <t>n2</t>
  </si>
  <si>
    <t>n2*X2</t>
  </si>
  <si>
    <t>(X2-Xg)</t>
  </si>
  <si>
    <t>(X2-Xg)^2</t>
  </si>
  <si>
    <t xml:space="preserve">   n2*(X2-Xg)^2</t>
  </si>
  <si>
    <t>Met n groot</t>
  </si>
  <si>
    <t>X3</t>
  </si>
  <si>
    <t>n3</t>
  </si>
  <si>
    <t>n3*X3</t>
  </si>
  <si>
    <t>(X3-Xg)</t>
  </si>
  <si>
    <t>(X3-Xg)^2</t>
  </si>
  <si>
    <t xml:space="preserve">   n3*(X3-Xg)^2</t>
  </si>
  <si>
    <t>X4</t>
  </si>
  <si>
    <t>n4</t>
  </si>
  <si>
    <t>n4*X4</t>
  </si>
  <si>
    <t>(X4-Xg)</t>
  </si>
  <si>
    <t>(X4-Xg)^2</t>
  </si>
  <si>
    <t xml:space="preserve">   n4*(X4-Xg)^2</t>
  </si>
  <si>
    <t xml:space="preserve">         …</t>
  </si>
  <si>
    <t xml:space="preserve">Van n = 1000 zijn er </t>
  </si>
  <si>
    <t xml:space="preserve"> +  Xm  </t>
  </si>
  <si>
    <t xml:space="preserve">   + m  </t>
  </si>
  <si>
    <t xml:space="preserve"> + m*Xm </t>
  </si>
  <si>
    <t xml:space="preserve">+(Xm-Xg) </t>
  </si>
  <si>
    <t>(Xm-Xg)^2</t>
  </si>
  <si>
    <t>+ m*(Xm-Xg)^2</t>
  </si>
  <si>
    <t xml:space="preserve">n3 met 3 ogen. </t>
  </si>
  <si>
    <t xml:space="preserve"> Deze </t>
  </si>
  <si>
    <t xml:space="preserve">    Variantie X</t>
  </si>
  <si>
    <t xml:space="preserve"> som </t>
  </si>
  <si>
    <t xml:space="preserve">      Xi gewogen met ni</t>
  </si>
  <si>
    <t xml:space="preserve"> NIET</t>
  </si>
  <si>
    <t xml:space="preserve"> gebruiken</t>
  </si>
  <si>
    <t>Gemiddelde             Xm=</t>
  </si>
  <si>
    <t>Gemiddelde uit som product ni*Xi</t>
  </si>
  <si>
    <t>gedeeld door totaal aantal uikomsten n</t>
  </si>
  <si>
    <t>Xen</t>
  </si>
  <si>
    <t>P(X)</t>
  </si>
  <si>
    <t>X*P(X)</t>
  </si>
  <si>
    <t xml:space="preserve">   P(xi)*(dev(Xi))^2</t>
  </si>
  <si>
    <t>P(X1)</t>
  </si>
  <si>
    <t>X1*P(X1)</t>
  </si>
  <si>
    <t xml:space="preserve">    (X1-μ)</t>
  </si>
  <si>
    <t>(X1-μ)^2</t>
  </si>
  <si>
    <t xml:space="preserve">   P(X1)*(X1-μ)^2</t>
  </si>
  <si>
    <t>P(X2)</t>
  </si>
  <si>
    <t>X2*P(X2)</t>
  </si>
  <si>
    <t xml:space="preserve">    (X2-μ)</t>
  </si>
  <si>
    <t>(X2-μ)^2</t>
  </si>
  <si>
    <t xml:space="preserve">   P(X2)*(X2-μ)^2</t>
  </si>
  <si>
    <t>Merk op: ni=n*P(Xi)</t>
  </si>
  <si>
    <t>P(X3)</t>
  </si>
  <si>
    <t>X3*P(X3)</t>
  </si>
  <si>
    <t xml:space="preserve">    (X3-μ)</t>
  </si>
  <si>
    <t>(X3-μ)^2</t>
  </si>
  <si>
    <t xml:space="preserve">   P(X3)*(X3-μ)^2</t>
  </si>
  <si>
    <t>P(X4)</t>
  </si>
  <si>
    <t>X4*P(X4)</t>
  </si>
  <si>
    <t xml:space="preserve">    (X4-μ)</t>
  </si>
  <si>
    <t>(X4-μ)^2</t>
  </si>
  <si>
    <t xml:space="preserve">   P(X4)*(X4-μ)^2</t>
  </si>
  <si>
    <t xml:space="preserve">      …</t>
  </si>
  <si>
    <t>Je hoeft niet meer te</t>
  </si>
  <si>
    <t xml:space="preserve">  + Xm        </t>
  </si>
  <si>
    <t>+  P(Xm) +</t>
  </si>
  <si>
    <t>Xm*P(Xm)</t>
  </si>
  <si>
    <t xml:space="preserve"> + (Xm-μ)</t>
  </si>
  <si>
    <t>(Xm-μ)^2</t>
  </si>
  <si>
    <t>+ P(Xm)*(X1-μ)^2</t>
  </si>
  <si>
    <t xml:space="preserve">delen door n zoals bij Xg      </t>
  </si>
  <si>
    <r>
      <t xml:space="preserve">  =(Variantie X)</t>
    </r>
    <r>
      <rPr>
        <b/>
        <sz val="10"/>
        <rFont val="Arial"/>
        <family val="2"/>
      </rPr>
      <t>/n</t>
    </r>
  </si>
  <si>
    <t>Je hoeft n dus niet te weten</t>
  </si>
  <si>
    <t xml:space="preserve"> som</t>
  </si>
  <si>
    <t xml:space="preserve">   Som is al </t>
  </si>
  <si>
    <t xml:space="preserve">        Xi gewogen met P(Xi)</t>
  </si>
  <si>
    <t xml:space="preserve">   gedeeld door n</t>
  </si>
  <si>
    <t>Gemiddelde               Xm=</t>
  </si>
  <si>
    <r>
      <t xml:space="preserve">         </t>
    </r>
    <r>
      <rPr>
        <b/>
        <sz val="12"/>
        <rFont val="Arial"/>
        <family val="2"/>
      </rPr>
      <t>μ =</t>
    </r>
  </si>
  <si>
    <t>∑ X*P(X)</t>
  </si>
  <si>
    <t>Verwachtingswaarde</t>
  </si>
  <si>
    <t>E(x)</t>
  </si>
  <si>
    <t>Gemiddelde uit product xi * P(xi)</t>
  </si>
  <si>
    <r>
      <t xml:space="preserve">t.o.v. </t>
    </r>
    <r>
      <rPr>
        <b/>
        <sz val="12"/>
        <rFont val="Arial"/>
        <family val="2"/>
      </rPr>
      <t>μ</t>
    </r>
  </si>
  <si>
    <t>P(Xi) = ni / n zodat al gedeeld is door n</t>
  </si>
  <si>
    <t>Aantal uitkomsten met W(x) / totaal aantal waarnemingen W</t>
  </si>
  <si>
    <t>Relatief slaat op het aantal relatief t.o.v. het totale aantal W</t>
  </si>
  <si>
    <t>Kans                          P(X)</t>
  </si>
  <si>
    <t xml:space="preserve">Bij klein aantal waarnemingen kan de relatieve frequentie verdeling afwijken van de kansverdeling </t>
  </si>
  <si>
    <r>
      <t xml:space="preserve">(kleine letters </t>
    </r>
    <r>
      <rPr>
        <b/>
        <sz val="10"/>
        <rFont val="Arial"/>
        <family val="2"/>
      </rPr>
      <t>x</t>
    </r>
    <r>
      <rPr>
        <b/>
        <sz val="11"/>
        <color theme="1"/>
        <rFont val="Calibri"/>
        <family val="2"/>
        <scheme val="minor"/>
      </rPr>
      <t>)</t>
    </r>
  </si>
  <si>
    <r>
      <t>∑</t>
    </r>
    <r>
      <rPr>
        <b/>
        <sz val="11"/>
        <color theme="1"/>
        <rFont val="Calibri"/>
        <family val="2"/>
        <scheme val="minor"/>
      </rPr>
      <t xml:space="preserve"> x</t>
    </r>
  </si>
  <si>
    <r>
      <t>∑</t>
    </r>
    <r>
      <rPr>
        <b/>
        <sz val="11"/>
        <color theme="1"/>
        <rFont val="Calibri"/>
        <family val="2"/>
        <scheme val="minor"/>
      </rPr>
      <t xml:space="preserve"> x / </t>
    </r>
    <r>
      <rPr>
        <b/>
        <sz val="10"/>
        <rFont val="Arial"/>
        <family val="2"/>
      </rPr>
      <t>n</t>
    </r>
  </si>
  <si>
    <r>
      <t xml:space="preserve">       </t>
    </r>
    <r>
      <rPr>
        <b/>
        <sz val="12"/>
        <rFont val="Arial"/>
        <family val="2"/>
      </rPr>
      <t>σ</t>
    </r>
    <r>
      <rPr>
        <b/>
        <sz val="10"/>
        <rFont val="Arial"/>
        <family val="2"/>
      </rPr>
      <t>x</t>
    </r>
    <r>
      <rPr>
        <b/>
        <sz val="11"/>
        <color theme="1"/>
        <rFont val="Calibri"/>
        <family val="2"/>
        <scheme val="minor"/>
      </rPr>
      <t xml:space="preserve"> = </t>
    </r>
    <r>
      <rPr>
        <b/>
        <sz val="12"/>
        <rFont val="Arial"/>
        <family val="2"/>
      </rPr>
      <t xml:space="preserve">V ( </t>
    </r>
    <r>
      <rPr>
        <b/>
        <sz val="11"/>
        <color theme="1"/>
        <rFont val="Calibri"/>
        <family val="2"/>
        <scheme val="minor"/>
      </rPr>
      <t>Variantie x)</t>
    </r>
    <r>
      <rPr>
        <b/>
        <sz val="10"/>
        <rFont val="Arial"/>
        <family val="2"/>
      </rPr>
      <t>/n</t>
    </r>
  </si>
  <si>
    <r>
      <t xml:space="preserve">op </t>
    </r>
    <r>
      <rPr>
        <b/>
        <sz val="10"/>
        <rFont val="Arial"/>
        <family val="2"/>
      </rPr>
      <t>m</t>
    </r>
    <r>
      <rPr>
        <b/>
        <sz val="11"/>
        <color theme="1"/>
        <rFont val="Calibri"/>
        <family val="2"/>
        <scheme val="minor"/>
      </rPr>
      <t xml:space="preserve"> mogelijke </t>
    </r>
  </si>
  <si>
    <r>
      <t xml:space="preserve">(met grote letters </t>
    </r>
    <r>
      <rPr>
        <b/>
        <sz val="10"/>
        <rFont val="Arial"/>
        <family val="2"/>
      </rPr>
      <t>X</t>
    </r>
    <r>
      <rPr>
        <b/>
        <sz val="11"/>
        <color theme="1"/>
        <rFont val="Calibri"/>
        <family val="2"/>
        <scheme val="minor"/>
      </rPr>
      <t>)</t>
    </r>
  </si>
  <si>
    <r>
      <t>∑</t>
    </r>
    <r>
      <rPr>
        <b/>
        <sz val="11"/>
        <color theme="1"/>
        <rFont val="Calibri"/>
        <family val="2"/>
        <scheme val="minor"/>
      </rPr>
      <t xml:space="preserve"> Xm</t>
    </r>
  </si>
  <si>
    <r>
      <t>∑</t>
    </r>
    <r>
      <rPr>
        <b/>
        <sz val="11"/>
        <color theme="1"/>
        <rFont val="Calibri"/>
        <family val="2"/>
        <scheme val="minor"/>
      </rPr>
      <t xml:space="preserve"> ni*Xi</t>
    </r>
  </si>
  <si>
    <r>
      <t>∑</t>
    </r>
    <r>
      <rPr>
        <b/>
        <sz val="11"/>
        <color theme="1"/>
        <rFont val="Calibri"/>
        <family val="2"/>
        <scheme val="minor"/>
      </rPr>
      <t xml:space="preserve"> Xm/m</t>
    </r>
  </si>
  <si>
    <r>
      <t xml:space="preserve">      X=Xg= ∑</t>
    </r>
    <r>
      <rPr>
        <b/>
        <sz val="11"/>
        <color theme="1"/>
        <rFont val="Calibri"/>
        <family val="2"/>
        <scheme val="minor"/>
      </rPr>
      <t xml:space="preserve"> ni*Xi /</t>
    </r>
    <r>
      <rPr>
        <b/>
        <sz val="10"/>
        <rFont val="Arial"/>
        <family val="2"/>
      </rPr>
      <t xml:space="preserve"> n</t>
    </r>
  </si>
  <si>
    <r>
      <t xml:space="preserve">        </t>
    </r>
    <r>
      <rPr>
        <b/>
        <sz val="14"/>
        <rFont val="Arial"/>
        <family val="2"/>
      </rPr>
      <t>σ</t>
    </r>
    <r>
      <rPr>
        <b/>
        <sz val="11"/>
        <color theme="1"/>
        <rFont val="Calibri"/>
        <family val="2"/>
        <scheme val="minor"/>
      </rPr>
      <t xml:space="preserve">X = </t>
    </r>
    <r>
      <rPr>
        <b/>
        <sz val="12"/>
        <rFont val="Arial"/>
        <family val="2"/>
      </rPr>
      <t>V (</t>
    </r>
    <r>
      <rPr>
        <b/>
        <sz val="11"/>
        <color theme="1"/>
        <rFont val="Calibri"/>
        <family val="2"/>
        <scheme val="minor"/>
      </rPr>
      <t>Variantie X)/</t>
    </r>
    <r>
      <rPr>
        <b/>
        <sz val="10"/>
        <rFont val="Arial"/>
        <family val="2"/>
      </rPr>
      <t>n</t>
    </r>
  </si>
  <si>
    <r>
      <t xml:space="preserve">t.o.v. </t>
    </r>
    <r>
      <rPr>
        <b/>
        <sz val="10"/>
        <rFont val="Arial"/>
        <family val="2"/>
      </rPr>
      <t xml:space="preserve">Xg </t>
    </r>
    <r>
      <rPr>
        <b/>
        <sz val="11"/>
        <color theme="1"/>
        <rFont val="Calibri"/>
        <family val="2"/>
        <scheme val="minor"/>
      </rPr>
      <t xml:space="preserve">    </t>
    </r>
  </si>
  <si>
    <r>
      <t xml:space="preserve">Zodat </t>
    </r>
    <r>
      <rPr>
        <b/>
        <sz val="10"/>
        <rFont val="Arial"/>
        <family val="2"/>
      </rPr>
      <t>∑</t>
    </r>
    <r>
      <rPr>
        <b/>
        <sz val="11"/>
        <color theme="1"/>
        <rFont val="Calibri"/>
        <family val="2"/>
        <scheme val="minor"/>
      </rPr>
      <t>X*P(X) = μ en</t>
    </r>
  </si>
  <si>
    <r>
      <t>∑</t>
    </r>
    <r>
      <rPr>
        <b/>
        <sz val="11"/>
        <color theme="1"/>
        <rFont val="Calibri"/>
        <family val="2"/>
        <scheme val="minor"/>
      </rPr>
      <t xml:space="preserve"> X</t>
    </r>
  </si>
  <si>
    <r>
      <t>∑</t>
    </r>
    <r>
      <rPr>
        <b/>
        <sz val="11"/>
        <color theme="1"/>
        <rFont val="Calibri"/>
        <family val="2"/>
        <scheme val="minor"/>
      </rPr>
      <t xml:space="preserve"> X*P(X)</t>
    </r>
  </si>
  <si>
    <r>
      <t>∑</t>
    </r>
    <r>
      <rPr>
        <b/>
        <sz val="11"/>
        <color theme="1"/>
        <rFont val="Calibri"/>
        <family val="2"/>
        <scheme val="minor"/>
      </rPr>
      <t xml:space="preserve"> X/m</t>
    </r>
  </si>
  <si>
    <r>
      <t xml:space="preserve"> </t>
    </r>
    <r>
      <rPr>
        <b/>
        <sz val="14"/>
        <rFont val="Arial"/>
        <family val="2"/>
      </rPr>
      <t xml:space="preserve">       σ</t>
    </r>
    <r>
      <rPr>
        <b/>
        <sz val="11"/>
        <color theme="1"/>
        <rFont val="Calibri"/>
        <family val="2"/>
        <scheme val="minor"/>
      </rPr>
      <t xml:space="preserve">X = </t>
    </r>
    <r>
      <rPr>
        <b/>
        <sz val="12"/>
        <rFont val="Arial"/>
        <family val="2"/>
      </rPr>
      <t>V (</t>
    </r>
    <r>
      <rPr>
        <b/>
        <sz val="11"/>
        <color theme="1"/>
        <rFont val="Calibri"/>
        <family val="2"/>
        <scheme val="minor"/>
      </rPr>
      <t>Variantie X)/n</t>
    </r>
  </si>
  <si>
    <r>
      <t>Relatieve frequentie</t>
    </r>
    <r>
      <rPr>
        <b/>
        <sz val="11"/>
        <color theme="1"/>
        <rFont val="Calibri"/>
        <family val="2"/>
        <scheme val="minor"/>
      </rPr>
      <t xml:space="preserve">  </t>
    </r>
    <r>
      <rPr>
        <b/>
        <sz val="10"/>
        <rFont val="Arial"/>
        <family val="2"/>
      </rPr>
      <t>Rf(x) =W(x)/W</t>
    </r>
  </si>
  <si>
    <t>(126,13)^0,5</t>
  </si>
  <si>
    <r>
      <t xml:space="preserve">Methode 1: </t>
    </r>
    <r>
      <rPr>
        <b/>
        <sz val="11"/>
        <color theme="1"/>
        <rFont val="Calibri"/>
        <family val="2"/>
        <scheme val="minor"/>
      </rPr>
      <t>Op basis alle</t>
    </r>
  </si>
  <si>
    <t>eerst gegroepeerd</t>
  </si>
  <si>
    <r>
      <t xml:space="preserve">Methode 2: </t>
    </r>
    <r>
      <rPr>
        <b/>
        <sz val="11"/>
        <color theme="1"/>
        <rFont val="Calibri"/>
        <family val="2"/>
        <scheme val="minor"/>
      </rPr>
      <t xml:space="preserve">Uitkomsten </t>
    </r>
  </si>
  <si>
    <t xml:space="preserve">Methode 3: Op basis </t>
  </si>
  <si>
    <r>
      <t xml:space="preserve">mogelijke uitkomsten </t>
    </r>
    <r>
      <rPr>
        <b/>
        <sz val="10"/>
        <rFont val="Arial"/>
        <family val="2"/>
      </rPr>
      <t>X</t>
    </r>
  </si>
  <si>
    <r>
      <t xml:space="preserve">kansverdeling met </t>
    </r>
    <r>
      <rPr>
        <b/>
        <sz val="10"/>
        <rFont val="Arial"/>
        <family val="2"/>
      </rPr>
      <t>m</t>
    </r>
    <r>
      <rPr>
        <b/>
        <sz val="11"/>
        <color theme="1"/>
        <rFont val="Calibri"/>
        <family val="2"/>
        <scheme val="minor"/>
      </rPr>
      <t xml:space="preserve"> </t>
    </r>
  </si>
  <si>
    <t>BIJLAGE 1: Relatieve frequentie verdeling en kansverdeling</t>
  </si>
  <si>
    <t>BIJLAGE 2: Gemiddelde, standaardafwijking en verwachtingswaarde</t>
  </si>
  <si>
    <t>3 METHODEN</t>
  </si>
  <si>
    <t>BIJLAGE 4: MET GRAFISCHE REKENMACHINE TI83</t>
  </si>
  <si>
    <t>Procedure</t>
  </si>
  <si>
    <t>BIJLAGE 3: VOORBEELD MET GETALLEN</t>
  </si>
  <si>
    <t xml:space="preserve">IN BIJLAGE 5 STAAT HOE JE GRAFISCH KUNT ONDERZOEKEN OF DE MEETWAARDEN NORMAAL VERDEELD ZIJN </t>
  </si>
  <si>
    <t>BIJLAGE 5: GRAFISCH MET GEBRUIK VAN SCHAAL VOOR NORMALE VERDELING</t>
  </si>
  <si>
    <t>EN HET BEPALEN VAN GEMIDDELDEN EN STANDAARDAFWIJKINGEN</t>
  </si>
  <si>
    <t xml:space="preserve">ALS DE MEETWAARDEN DAN EEN RECHTE LIJN VERTONEN WEET JE DAT HET EEN EXPONENTIELE </t>
  </si>
  <si>
    <t>OF LOGARITMISCHE FUNCTIE IS EN KUN JE DE PARAMETERS DAARVOOR BEPALEN</t>
  </si>
  <si>
    <t>MEETWAARDEN OP LOGARITMISCHE SCHAAL</t>
  </si>
  <si>
    <t>STATISTIEK IN EXCEL</t>
  </si>
  <si>
    <t>DIT WERKBLAD GEEFT EEN BEKNOPTE SAMENVATTING VAN DE BELANGRIJKSTE ONDERDELEN UIT DE STATISTISCHE WISKUNDE</t>
  </si>
  <si>
    <t>DE EXCEL FUNCTIES VIND JE ONDER FORMULES, MEER FUNCTIES, STATISTISCH</t>
  </si>
  <si>
    <t>Op deze wijze ontstaat er een (bijna?) nieuw lineair verband (Krom is rechtgetrokken)</t>
  </si>
  <si>
    <t>Benadering Yb=</t>
  </si>
  <si>
    <t>Gemiddelde</t>
  </si>
  <si>
    <t>Moet zo dicht mogelijk bij 0</t>
  </si>
  <si>
    <t>Correlatie</t>
  </si>
  <si>
    <t>Moet zo dicht mogelijk bij 1</t>
  </si>
  <si>
    <t>Richting</t>
  </si>
  <si>
    <t>Snijpunt</t>
  </si>
  <si>
    <t>correlatie is bijna perfect, richting van vergelijkingslijn is bijna 1,</t>
  </si>
  <si>
    <t>en het snijpunt van deze lijn gaat bijna door de oorsprong.</t>
  </si>
  <si>
    <t xml:space="preserve">De gevonden formule geeft het verband tussen de meetpunten dus goed weer, </t>
  </si>
  <si>
    <t>terwijl deze tevens voldoet aan het theoretisch model</t>
  </si>
  <si>
    <t>Dit vooral waar de grafiek snel verloopt.</t>
  </si>
  <si>
    <t>HIERONDER STAAT HOE JE ZO GOED MOGELIJK EEN THEORETISCH VERBAND KUNT BEPALEN</t>
  </si>
  <si>
    <t>Deze formule volgt uit de theorie of aan logische voorwaarden waaraan het theoretisch verband moet voldoen</t>
  </si>
  <si>
    <t>Daarmee bereken je theoretische waarden en deze vergelijk je met de meetwaarden.</t>
  </si>
  <si>
    <t>STDEVP</t>
  </si>
  <si>
    <t>POLYNOOM VOLGORDE 2 VOLDOET NIET OMDAT DEZE NIET DOOR DE OORSPRONG GAAT</t>
  </si>
  <si>
    <t>=Y</t>
  </si>
  <si>
    <t>=0,5*X^2,1</t>
  </si>
  <si>
    <t>=0,5*X^2,0</t>
  </si>
  <si>
    <t>=0,5*X^1,9</t>
  </si>
  <si>
    <t>=0,6*X^2</t>
  </si>
  <si>
    <t>=0,7*X^2</t>
  </si>
  <si>
    <t>DEZE KOLOM</t>
  </si>
  <si>
    <t>STRAKS</t>
  </si>
  <si>
    <t xml:space="preserve">VERSCHIL = </t>
  </si>
  <si>
    <t>FORMULE - Y</t>
  </si>
  <si>
    <t>VOOR FUNCTIE VERSUS Y</t>
  </si>
  <si>
    <t>Benadering Yb=0,6*X^2 een geschikte keuze is</t>
  </si>
  <si>
    <t>Gemiddelde van afwijking is bijna nul, standaardafwijking t.o.v. formule is zeer klein,</t>
  </si>
  <si>
    <t xml:space="preserve">OM HET NOG PRECIEZER TE BEPALEN KUN JE LINEAIRE REGRESSIE TOEPASSEN </t>
  </si>
  <si>
    <t xml:space="preserve">Deze Formule voldoet vrij goed, zodat </t>
  </si>
  <si>
    <t>Betreft kennelijk een kwadratisch verband</t>
  </si>
  <si>
    <t>MET VERDER TRIAL &amp; ERROR ONDERZOEK KUN JE HET WELLICHT NOG NAUWKEURIGER KRIJGEN</t>
  </si>
  <si>
    <t>Bijvoorbeeld met meer lage en/of juist meer hoge meetwaarden.</t>
  </si>
  <si>
    <t>Met meer, en meer nauwkeurige, meetwaarden kun je een meer nauwkeuriger resultaat krijgen.</t>
  </si>
  <si>
    <t>KLEINSTE KWADRATENMETHODE MET MATRICES UIT LINEAIRE MEETKUNDE</t>
  </si>
  <si>
    <t>RECHTE LIJN DOOR TWEE PUNTEN</t>
  </si>
  <si>
    <t xml:space="preserve">VOORBEELD 1:  LINEAIRE REGRESSIE LIJN DOOR MEERDERE PUNTEN </t>
  </si>
  <si>
    <t>VOORBEELD 2: PARAMETERSCHATTEN VAN PARABOOL</t>
  </si>
  <si>
    <t>VOORBEELD 3:    PARAMETERSCHATTING MET MODEL  z = ax + by</t>
  </si>
  <si>
    <t xml:space="preserve">GEBRUIKEN WE </t>
  </si>
  <si>
    <t>HET GEBRUIK VAN POLYNOMEN EN MATRICES IS HIERBIJ NIET NODIG</t>
  </si>
  <si>
    <t>=GEMIDDELDE(D32:D37</t>
  </si>
  <si>
    <t>=STDEVP(D32:D37)</t>
  </si>
  <si>
    <t>=RICHTING(D25:D30;$B25:$B30)</t>
  </si>
  <si>
    <t>=SNIJPUNT(G25:G30;$B25:$B30)</t>
  </si>
  <si>
    <t>=CORRELATIE(D25:D30;$B25:$B30)</t>
  </si>
  <si>
    <r>
      <t>IS NU =STDEVP(D</t>
    </r>
    <r>
      <rPr>
        <b/>
        <sz val="11"/>
        <color rgb="FFFF0000"/>
        <rFont val="Calibri"/>
        <family val="2"/>
        <scheme val="minor"/>
      </rPr>
      <t>33</t>
    </r>
    <r>
      <rPr>
        <b/>
        <sz val="11"/>
        <rFont val="Calibri"/>
        <family val="2"/>
        <scheme val="minor"/>
      </rPr>
      <t>:D37)</t>
    </r>
  </si>
  <si>
    <t xml:space="preserve">ALTIJD MOET DUIDELIJK HET DOMEIN WORDEN AANGEVEN WAAROP DE FORMULE IS GEBASEERD </t>
  </si>
  <si>
    <t xml:space="preserve">BIJVOORBEELD </t>
  </si>
  <si>
    <t>met  x lna gesubstitueerd in</t>
  </si>
  <si>
    <t>Lijst L1   X invullen</t>
  </si>
  <si>
    <t>Lijst L2  Y invullen</t>
  </si>
  <si>
    <t>4: LinReg(ax+b)</t>
  </si>
  <si>
    <t>4: Clrlist L1 en L2</t>
  </si>
  <si>
    <t>On</t>
  </si>
  <si>
    <t>Start Plot1</t>
  </si>
  <si>
    <t>2nd 0 (ZERO)</t>
  </si>
  <si>
    <t>Catalog  DiagnosticOn</t>
  </si>
  <si>
    <t>Eenmalig r aanzetten</t>
  </si>
  <si>
    <t>Daarna:</t>
  </si>
  <si>
    <t>Type Links Boven of Rechts Onder</t>
  </si>
  <si>
    <t>Je kunt ook plotten</t>
  </si>
  <si>
    <t>Verder moet je r noteren,</t>
  </si>
  <si>
    <r>
      <t>2nd L1 , L2            r,  a</t>
    </r>
    <r>
      <rPr>
        <b/>
        <vertAlign val="subscript"/>
        <sz val="11"/>
        <color theme="1"/>
        <rFont val="Calibri"/>
        <family val="2"/>
        <scheme val="minor"/>
      </rPr>
      <t xml:space="preserve">yx </t>
    </r>
    <r>
      <rPr>
        <b/>
        <sz val="11"/>
        <color theme="1"/>
        <rFont val="Calibri"/>
        <family val="2"/>
        <scheme val="minor"/>
      </rPr>
      <t>en b</t>
    </r>
    <r>
      <rPr>
        <b/>
        <vertAlign val="subscript"/>
        <sz val="11"/>
        <color theme="1"/>
        <rFont val="Calibri"/>
        <family val="2"/>
        <scheme val="minor"/>
      </rPr>
      <t>yx</t>
    </r>
  </si>
  <si>
    <r>
      <t>2nd L2 , L1            r,  a</t>
    </r>
    <r>
      <rPr>
        <b/>
        <vertAlign val="subscript"/>
        <sz val="11"/>
        <color theme="1"/>
        <rFont val="Calibri"/>
        <family val="2"/>
        <scheme val="minor"/>
      </rPr>
      <t xml:space="preserve">xy </t>
    </r>
    <r>
      <rPr>
        <b/>
        <sz val="11"/>
        <color theme="1"/>
        <rFont val="Calibri"/>
        <family val="2"/>
        <scheme val="minor"/>
      </rPr>
      <t>en b</t>
    </r>
    <r>
      <rPr>
        <b/>
        <vertAlign val="subscript"/>
        <sz val="11"/>
        <color theme="1"/>
        <rFont val="Calibri"/>
        <family val="2"/>
        <scheme val="minor"/>
      </rPr>
      <t>xy</t>
    </r>
  </si>
  <si>
    <t>EXCEL IS VEEL MAKKELIJKER</t>
  </si>
  <si>
    <t>(BEKIJK OOK APPENDIX B)</t>
  </si>
  <si>
    <t>ClrAllLists of ClrList L1, L2</t>
  </si>
  <si>
    <t>VAAK MOET EEN GESCHIKTE LIJN WORDEN BEPAALD DOOR EEN GROOT AANTAL PUNTEN</t>
  </si>
  <si>
    <r>
      <t>DAN ONTSTAAN ECHTER ZEER GROTE MATRICES MET MOGELIJK G</t>
    </r>
    <r>
      <rPr>
        <b/>
        <sz val="11"/>
        <color theme="1"/>
        <rFont val="Calibri"/>
        <family val="2"/>
      </rPr>
      <t>ÉÉ</t>
    </r>
    <r>
      <rPr>
        <b/>
        <sz val="11"/>
        <color theme="1"/>
        <rFont val="Calibri"/>
        <family val="2"/>
        <scheme val="minor"/>
      </rPr>
      <t>N OF EEN ONNAUWKEURIG RESULTAAT</t>
    </r>
  </si>
  <si>
    <t>DE OVERIGE STATISTISCHE WAARDEN MOET JE APART BEREKENEN ZOALS OP WERKBLAD LRL</t>
  </si>
  <si>
    <t>VOOR DE ANDERE REGRESSIE LIJN X OP Y MOET JE EEN SOORTGELIJKE MATRIX BEREKENING MAKEN</t>
  </si>
  <si>
    <t>DUS VOOR LINEAIRE REGRESSIELIJNEN KUN JE BETER DE METHODE OP WERKBLAD LRL GEBRUIKEN</t>
  </si>
  <si>
    <t>DEZE ITE - METHODE IS VOOR EIGEN GEBRUIK ONTWIKKELD DOOR DOCENT VAN DER MEER (MRM)</t>
  </si>
  <si>
    <t xml:space="preserve">Je kunt ook naar de verschillen tussen de formule en de meetwaarden kijken en de formule zodanig kiezen dat </t>
  </si>
  <si>
    <t>JE KUNT MET ALLEEN GETALLEN EN GRAFIEKEN WERKEN, MAAR VOOR EEN NAUWKEURIGER RESULTAAT</t>
  </si>
  <si>
    <t>DEZE INTELLIGENTE TRIAL &amp; ERROR METHODE IS NUTTIG EN NIET ECHT MOEILIJK</t>
  </si>
  <si>
    <t>HIJ IS UNIVERSEEL TOEPASBAAR VOOR ALLERLEI FUNCTIES VAN LINEAIR TOT COMPLEX</t>
  </si>
  <si>
    <t>HET VEREIST WEL VOLDOENDE WISKUNDIG INZICHT IN FORMULES EN FUNCTIES</t>
  </si>
  <si>
    <t>IN EEN GRAFIEK KUN JE DOOR MEETWAARDEN EENVOUDIG EEN POLYNOOM LATEN TEKENEN</t>
  </si>
  <si>
    <t>BIJ EEN POLYNOOM IS DE TOTALE AFWIJKING VAN DE MEETPUNTEN T.O.V. DE POLYNOOM MINIMAAL</t>
  </si>
  <si>
    <t>de totale afwijking van de punten t.o.v. de uiteindelijk gekozen formule minimaal en te verwaarlozen klein is.</t>
  </si>
  <si>
    <r>
      <t xml:space="preserve">HET DOMEIN WAAROP DE FORMULE IS GEBASEERD IS D: = (0 &lt; X </t>
    </r>
    <r>
      <rPr>
        <b/>
        <u/>
        <sz val="11"/>
        <color theme="1"/>
        <rFont val="Calibri"/>
        <family val="2"/>
        <scheme val="minor"/>
      </rPr>
      <t>&lt;</t>
    </r>
    <r>
      <rPr>
        <b/>
        <sz val="11"/>
        <color theme="1"/>
        <rFont val="Calibri"/>
        <family val="2"/>
        <scheme val="minor"/>
      </rPr>
      <t xml:space="preserve"> 5 )</t>
    </r>
  </si>
  <si>
    <r>
      <t xml:space="preserve">INTERPOLATIE EN EXTRAPOLATIE VOOR 0 </t>
    </r>
    <r>
      <rPr>
        <b/>
        <u/>
        <sz val="11"/>
        <color theme="1"/>
        <rFont val="Calibri"/>
        <family val="2"/>
        <scheme val="minor"/>
      </rPr>
      <t>&lt;</t>
    </r>
    <r>
      <rPr>
        <b/>
        <sz val="11"/>
        <color theme="1"/>
        <rFont val="Calibri"/>
        <family val="2"/>
        <scheme val="minor"/>
      </rPr>
      <t xml:space="preserve"> X  LIJKT TOEGESTAAN</t>
    </r>
  </si>
  <si>
    <t>(VOORBEELD)</t>
  </si>
  <si>
    <t>MET GRAFISCHE REKENMACHINE TI 83</t>
  </si>
  <si>
    <r>
      <t xml:space="preserve">DIT WERKBLAD BESCHRIJFT DAAROM EEN UNIVERSELE </t>
    </r>
    <r>
      <rPr>
        <b/>
        <sz val="11"/>
        <color rgb="FFFF0000"/>
        <rFont val="Calibri"/>
        <family val="2"/>
        <scheme val="minor"/>
      </rPr>
      <t xml:space="preserve">INTELLIGENTE TRIAL EN ERROR METHODE </t>
    </r>
    <r>
      <rPr>
        <b/>
        <sz val="11"/>
        <color theme="1"/>
        <rFont val="Calibri"/>
        <family val="2"/>
        <scheme val="minor"/>
      </rPr>
      <t xml:space="preserve">WAARMEE </t>
    </r>
  </si>
  <si>
    <t>OOK IN WELKE MATE INTERPOLATIE EN EXTRAPOLATIE IS TOEGESTAAN, OF LIJKT TE ZIJN TOEGESTAAN.</t>
  </si>
  <si>
    <t>Dus de gekozen functie benadert de andere punten inderdaad zeer goed</t>
  </si>
  <si>
    <t>http://willyvermaelen.classy.be/meettechniek/schuifmaat.html</t>
  </si>
  <si>
    <t>http://www.chem.uu.nl/practicum/2007-2008/chem/foutenleer/download/files.html</t>
  </si>
  <si>
    <t>http://leon.khbo.be/~vdabeele/fysica/index.php?n=Main.Terminologie</t>
  </si>
  <si>
    <t>SITES OVER FOUTENLEER</t>
  </si>
  <si>
    <t>ZOEKMACHINE KERNWOORDEN</t>
  </si>
  <si>
    <t>FOUTENLEER</t>
  </si>
  <si>
    <t>FOUTENTHEORIE</t>
  </si>
  <si>
    <t>MEETNAUWKEURIGHEID</t>
  </si>
  <si>
    <t>AAN ELKAAR EN MET SPATIE ERTUSSEN</t>
  </si>
  <si>
    <t>ENZ</t>
  </si>
  <si>
    <t>FYSIWIKIA TERMINOLOGIE</t>
  </si>
  <si>
    <t xml:space="preserve">VOORAL OOK NAAR SCHUIFMAAT KIJKEN, INCLUSIEF ACTIVITEITEN </t>
  </si>
  <si>
    <t>SCHROEFMAAT WORDT VEELAL MICROMETER GENOEMD</t>
  </si>
  <si>
    <t>http://nl.wikipedia.org/wiki/Tolerantie_(specificaties)#Afmeting</t>
  </si>
  <si>
    <t>TOLERANTIES TECHNIEK</t>
  </si>
  <si>
    <t>http://en.wikipedia.org/wiki/Accuracy_and_precision</t>
  </si>
  <si>
    <t>ACCURACY AND PRECISION</t>
  </si>
  <si>
    <t>http://nl.wikipedia.org/wiki/Nauwkeurigheid_en_precisie</t>
  </si>
  <si>
    <t>http://www.mijnwoordenboek.nl/synoniemen/nauwkeurigheid</t>
  </si>
  <si>
    <t>http://www.mijnwoordenboek.nl/synoniem.php?woord=fout</t>
  </si>
  <si>
    <t>FOUT</t>
  </si>
  <si>
    <t>http://www.mijnwoordenboek.nl/synoniem.php?woord=betrouwbaar</t>
  </si>
  <si>
    <t>BETROUWBAAR</t>
  </si>
  <si>
    <t>PRECIES</t>
  </si>
  <si>
    <t>http://www.mijnwoordenboek.nl/synoniem.php?woord=precies</t>
  </si>
  <si>
    <t>VALIDE</t>
  </si>
  <si>
    <t>http://www.mijnwoordenboek.nl/synoniem.php?woord=valide</t>
  </si>
  <si>
    <t>NAUWKEURIGHEID</t>
  </si>
  <si>
    <t>NAUWKEURIGHEID EN PRECISIE</t>
  </si>
  <si>
    <t>http://www.test.uva.nl/wiki/index.php?title=Meetfout</t>
  </si>
  <si>
    <t>http://nl.wikipedia.org/wiki/Validiteit</t>
  </si>
  <si>
    <t>VALIDITEIT</t>
  </si>
  <si>
    <t>http://nl.wikipedia.org/wiki/Betrouwbaarheid</t>
  </si>
  <si>
    <t>BETROUWBAARHEID</t>
  </si>
  <si>
    <t>PSYWIKI</t>
  </si>
  <si>
    <t>MEETFOUTEN</t>
  </si>
  <si>
    <t>http://www.mijnwoordenboek.nl/synoniem.php?woord=afwijking</t>
  </si>
  <si>
    <t>AFWIJKING</t>
  </si>
  <si>
    <t xml:space="preserve">Zo kun je bijvoorbeeld  de anomalie Y(0)=1 buiten beschouwing laten </t>
  </si>
  <si>
    <t>BOVENSTAANDE WOORDEN</t>
  </si>
  <si>
    <t>KALIBRATIE</t>
  </si>
  <si>
    <t>IJKEN</t>
  </si>
  <si>
    <t>http://nl.wikipedia.org/wiki/Meten</t>
  </si>
  <si>
    <t>METEN</t>
  </si>
  <si>
    <t>http://nl.wikipedia.org/wiki/IJken</t>
  </si>
  <si>
    <t>http://nl.wikipedia.org/wiki/Kalibreren</t>
  </si>
  <si>
    <t>http://en.wikipedia.org/wiki/Uncertainty#Measurements</t>
  </si>
  <si>
    <t>UNCERTAINTY</t>
  </si>
  <si>
    <t>http://en.wikipedia.org/wiki/Measurement</t>
  </si>
  <si>
    <t>MEASUREMENTS</t>
  </si>
  <si>
    <t>ALS DE RELATIEVE FOUT VRIJ KLEIN IS ( GEWOONLIJK &lt; 0,1) EN DE FOUTEN SYMMETRISCH ZIJN</t>
  </si>
  <si>
    <t>ZIE VERDER ONDER WERKBLAD STAT</t>
  </si>
  <si>
    <r>
      <t xml:space="preserve">HET GEMIDDELDE HIERVAN IS DAN  </t>
    </r>
    <r>
      <rPr>
        <b/>
        <sz val="11"/>
        <color theme="1"/>
        <rFont val="Calibri"/>
        <family val="2"/>
      </rPr>
      <t>μ</t>
    </r>
    <r>
      <rPr>
        <b/>
        <vertAlign val="subscript"/>
        <sz val="11"/>
        <color theme="1"/>
        <rFont val="Calibri"/>
        <family val="2"/>
      </rPr>
      <t>sg</t>
    </r>
    <r>
      <rPr>
        <b/>
        <sz val="11"/>
        <color theme="1"/>
        <rFont val="Calibri"/>
        <family val="2"/>
      </rPr>
      <t xml:space="preserve"> = μ   MET  σ</t>
    </r>
    <r>
      <rPr>
        <b/>
        <vertAlign val="subscript"/>
        <sz val="11"/>
        <color theme="1"/>
        <rFont val="Calibri"/>
        <family val="2"/>
      </rPr>
      <t>sg</t>
    </r>
    <r>
      <rPr>
        <b/>
        <sz val="11"/>
        <color theme="1"/>
        <rFont val="Calibri"/>
        <family val="2"/>
      </rPr>
      <t xml:space="preserve"> = σ / √n</t>
    </r>
  </si>
  <si>
    <r>
      <t xml:space="preserve">DEZE </t>
    </r>
    <r>
      <rPr>
        <b/>
        <sz val="11"/>
        <color theme="1"/>
        <rFont val="Calibri"/>
        <family val="2"/>
      </rPr>
      <t>√n - WET WORDT GEBRUIKT BIJ STEEKPROEVEN IN COMBINATIE MET DE H0 EN H1 HYPOTHESES</t>
    </r>
  </si>
  <si>
    <t>OMDAT DAARBIJ   log y = log a + b log x</t>
  </si>
  <si>
    <r>
      <t xml:space="preserve"> = </t>
    </r>
    <r>
      <rPr>
        <b/>
        <sz val="11"/>
        <color theme="1"/>
        <rFont val="Calibri"/>
        <family val="2"/>
      </rPr>
      <t xml:space="preserve">μ   </t>
    </r>
    <r>
      <rPr>
        <b/>
        <sz val="11"/>
        <color theme="1"/>
        <rFont val="Calibri"/>
        <family val="2"/>
        <scheme val="minor"/>
      </rPr>
      <t>BIJ NORMALE VERDELING</t>
    </r>
  </si>
  <si>
    <t xml:space="preserve">  HIER MET EXCEL FORMULES </t>
  </si>
  <si>
    <t>EERST WISKUNDIG EN DAARNA HOE JE DIT OOK KUNT DOEN MET JE GR</t>
  </si>
  <si>
    <t>DIT GETAL HAD ECHT NUL MOETEN ZIJN</t>
  </si>
  <si>
    <t>TOTALE (KWADRATISCHE) AFWIJKING VAN ALLE PUNTEN IS MINIMAAL</t>
  </si>
  <si>
    <t>KUNT OOK GRAFIEK PRINTEN</t>
  </si>
  <si>
    <t>EN OVERZICHTELIJKER, EN JE</t>
  </si>
  <si>
    <r>
      <t>σ</t>
    </r>
    <r>
      <rPr>
        <b/>
        <vertAlign val="subscript"/>
        <sz val="11"/>
        <color theme="1"/>
        <rFont val="Calibri"/>
        <family val="2"/>
      </rPr>
      <t>x</t>
    </r>
    <r>
      <rPr>
        <b/>
        <sz val="11"/>
        <color theme="1"/>
        <rFont val="Calibri"/>
        <family val="2"/>
      </rPr>
      <t xml:space="preserve"> en σ</t>
    </r>
    <r>
      <rPr>
        <b/>
        <vertAlign val="subscript"/>
        <sz val="11"/>
        <color theme="1"/>
        <rFont val="Calibri"/>
        <family val="2"/>
      </rPr>
      <t xml:space="preserve">y </t>
    </r>
    <r>
      <rPr>
        <b/>
        <sz val="11"/>
        <color theme="1"/>
        <rFont val="Calibri"/>
        <family val="2"/>
      </rPr>
      <t>uitrekenen</t>
    </r>
  </si>
  <si>
    <r>
      <t>Daarna σ</t>
    </r>
    <r>
      <rPr>
        <b/>
        <vertAlign val="subscript"/>
        <sz val="11"/>
        <color theme="1"/>
        <rFont val="Calibri"/>
        <family val="2"/>
      </rPr>
      <t>dx</t>
    </r>
    <r>
      <rPr>
        <b/>
        <sz val="11"/>
        <color theme="1"/>
        <rFont val="Calibri"/>
        <family val="2"/>
      </rPr>
      <t xml:space="preserve"> en σ</t>
    </r>
    <r>
      <rPr>
        <b/>
        <vertAlign val="subscript"/>
        <sz val="11"/>
        <color theme="1"/>
        <rFont val="Calibri"/>
        <family val="2"/>
      </rPr>
      <t>dy</t>
    </r>
  </si>
  <si>
    <r>
      <rPr>
        <b/>
        <sz val="11"/>
        <color rgb="FF0070C0"/>
        <rFont val="Calibri"/>
        <family val="2"/>
      </rPr>
      <t>σ</t>
    </r>
    <r>
      <rPr>
        <b/>
        <vertAlign val="subscript"/>
        <sz val="11"/>
        <color rgb="FF0070C0"/>
        <rFont val="Calibri"/>
        <family val="2"/>
      </rPr>
      <t>dy</t>
    </r>
    <r>
      <rPr>
        <b/>
        <sz val="11"/>
        <color rgb="FF0070C0"/>
        <rFont val="Calibri"/>
        <family val="2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RESTERENDE VERTIKALE SPREIDING OM DEZE LIJN </t>
    </r>
  </si>
  <si>
    <r>
      <rPr>
        <b/>
        <sz val="11"/>
        <color rgb="FFFF0000"/>
        <rFont val="Calibri"/>
        <family val="2"/>
      </rPr>
      <t>σ</t>
    </r>
    <r>
      <rPr>
        <b/>
        <vertAlign val="subscript"/>
        <sz val="11"/>
        <color rgb="FFFF0000"/>
        <rFont val="Calibri"/>
        <family val="2"/>
      </rPr>
      <t>dx</t>
    </r>
    <r>
      <rPr>
        <b/>
        <sz val="11"/>
        <color rgb="FFFF0000"/>
        <rFont val="Calibri"/>
        <family val="2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RESTERENDE HORIZONTALE SPREIDING OM DEZE LIJN </t>
    </r>
  </si>
  <si>
    <t>INVERSE FUNCTIE IS X(Y) OMGESCHREVEN NAAR Y(X)</t>
  </si>
  <si>
    <t>BIJ MATRIX REKENEN MOET JE ELKE RIJ VERMENIGVULDIGEN MET DE KOLOM(MEN) DIE ER ACHTER STAAN</t>
  </si>
  <si>
    <r>
      <t>x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     1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</si>
  <si>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 xml:space="preserve">     1</t>
    </r>
  </si>
  <si>
    <r>
      <t>-x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     x</t>
    </r>
    <r>
      <rPr>
        <b/>
        <vertAlign val="subscript"/>
        <sz val="11"/>
        <color theme="1"/>
        <rFont val="Calibri"/>
        <family val="2"/>
        <scheme val="minor"/>
      </rPr>
      <t>1</t>
    </r>
  </si>
  <si>
    <t>DE MATRIX METHODE IS WEL NODIG VOOR HET BEREKENEN VAN DE POLYNOMEN IN DE VOLGENDE VOORBEELDEN</t>
  </si>
  <si>
    <r>
      <t xml:space="preserve">DIT IS DE RODE LIJN </t>
    </r>
    <r>
      <rPr>
        <b/>
        <sz val="11"/>
        <color theme="1"/>
        <rFont val="Calibri"/>
        <family val="2"/>
        <scheme val="minor"/>
      </rPr>
      <t xml:space="preserve">= EXCEL TRENDLIJN POLYNOOM VOLGORDE 2                    </t>
    </r>
  </si>
  <si>
    <t>HET VERKRIJGEN VAN EEN VOLDOENDE NAUWKEURIG RESULTAAT KAN SOMS WEL LASTIG EN VEEL WERK ZIJN</t>
  </si>
  <si>
    <t xml:space="preserve">Je past je formule net zolang aan totdat een vrij goede lineaire relatie ontstaat </t>
  </si>
  <si>
    <t>MEESTAL KUN JE OP DEZE SITES VERDER DOORKLIKKEN</t>
  </si>
  <si>
    <t xml:space="preserve">DEZE FILE GEEFT EEN NUTTIGE SAMENVATTING VAN FOUTENLEER, HET BEPALEN VAN LIJNEN DOOR MEETWAARDEN,  </t>
  </si>
  <si>
    <t>FOUTEN EN SIGNIFICANTIE</t>
  </si>
  <si>
    <t>(ZIE OOK VWO4 H1 - BASISVAARDIGHEDEN)</t>
  </si>
  <si>
    <t>FOUTREKENING</t>
  </si>
  <si>
    <t>dus bij eerste deel abc-formule</t>
  </si>
  <si>
    <t>DOORKLIKKEN VERSCHAFT VEEL NUTTIGE INFORMATIE</t>
  </si>
  <si>
    <t>OOK NUTTIG, MAAR HELAAS WERKEN MEERDERE LINKS NIET MEER</t>
  </si>
  <si>
    <t>KIJK ER EENS GOED NAAR EN MAAK GEBRUIK VAN WAT JE TIJDENS DE MODULE NODIG HEBT</t>
  </si>
  <si>
    <t>SLA DEZE FILE VOORAL ZORGVULDIG OP VOOR ALS JE HEM LATER NOG EENS NODIG HEBT</t>
  </si>
  <si>
    <t>NU MOET JE BIJ HET BEREKENEN VAN DE RICHTING EERST NOG DE LOG NEMEN VAN Y !!!!!!!</t>
  </si>
  <si>
    <t xml:space="preserve">AANTAL CIJFERS ACHTER DE KOMMA = HET KLEINSTE AANTAL </t>
  </si>
  <si>
    <t>DAARNA BEPAALT HET ANTWOORD DE SIGNIFICANTIE</t>
  </si>
  <si>
    <t xml:space="preserve">SIGNIFICANTIE VAN ANTWOORD = HET KLEINSTE AANTAL </t>
  </si>
  <si>
    <t>DE FORMULES VOOR PRODUCT EN QUOTIENT VOLGEN UIT DE MERKWAARDIGE PRODUCTEN</t>
  </si>
  <si>
    <t>BEIDE WORTEL VAN SOM KWADRATEN STANDAARDAFWIJKINGEN</t>
  </si>
  <si>
    <t xml:space="preserve">IN EXCEL KUN JE EENVOUDIG EEN LINEAIRE TRENDLIJN WEERGEVEN, </t>
  </si>
  <si>
    <t>IN WERKBLAD LRL STAAT HOE JE DE FORMULE VOOR DEZE LINEAIRE REGRESSIE LIJN BEREKENT</t>
  </si>
  <si>
    <t>BIJ EXPONENTIELE EN MACHTSFUNCTIES KAN HET SOMS HANDIG ZIJN LOGARTIMEN TE GEBRUIKEN</t>
  </si>
  <si>
    <t>HET HELPT JE SNEL OP WEG OM GEMIDDELDEN EN STANDAARDAFWIJKINGEN TE BEREKENEN</t>
  </si>
  <si>
    <t>DENK WEL ALTIJD GOED NA, EN KIJK GOED NAAR WAT EEN FUNCTIE NU PRECIES BEREKENT, EN HOE</t>
  </si>
  <si>
    <t>IN EXCEL KUNNEN DEZE EENVOUDIG WORDEN BEREKEND EN WEERGEGEVEN</t>
  </si>
  <si>
    <r>
      <t>IN DE PRAKTIJK WERK JE MET DE VERSCHILLEN IN DE CUMULATIEVE KANSVERDELING P (X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&lt;X&lt;X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 = P(X&lt;X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 - P(X&lt;X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)</t>
    </r>
  </si>
  <si>
    <t>MEETPUNTEN VERWERK JE TOT EEN OPLOPEND GERANGSCHIKTE RELATIEVE FREQUENTIE, OOK CUMULATIEF</t>
  </si>
  <si>
    <t>IN BIJLAGE 4 STAAT HOE JE DIT MET EEN TI 83 KUNT BEREKENEN</t>
  </si>
  <si>
    <t>De relatieve frequentie verdeling is gebaseerd op alle Rf(x) voor alle waarnemingen   (is discreet)</t>
  </si>
  <si>
    <t>De kansverdeling is gebaseerd op een zeer groot aantal waarnemingen representatief voor de populatie</t>
  </si>
  <si>
    <t>en is veelal continu. Voorbeeld: de lengte van zeer veel mensen (is normaal verdeeld)</t>
  </si>
  <si>
    <t>Bij een groot aantal waarnemingen benadert de relatieve verdeling steeds beter de kansverdeling</t>
  </si>
  <si>
    <t>Bij tekenen cumulatieve frquentie altijd de bovengrens gebruiken.</t>
  </si>
  <si>
    <t>laatste kolom = Variantie/n</t>
  </si>
  <si>
    <t xml:space="preserve">              Gebruik bovengrens om cumulatieve verdeling te tekenen!</t>
  </si>
  <si>
    <t>IS GEBASEERD OP DE KLEINSTE KWADRATEN METHODEN</t>
  </si>
  <si>
    <t>ENKELE MOET JE ZELF MAKEN</t>
  </si>
  <si>
    <r>
      <t xml:space="preserve">BLAUWE LINEAIRE REGRESSIE LIJN VERKLAART DEEL VAN </t>
    </r>
    <r>
      <rPr>
        <b/>
        <sz val="11"/>
        <color rgb="FF0070C0"/>
        <rFont val="Calibri"/>
        <family val="2"/>
      </rPr>
      <t>σ</t>
    </r>
    <r>
      <rPr>
        <b/>
        <vertAlign val="subscript"/>
        <sz val="11"/>
        <color rgb="FF0070C0"/>
        <rFont val="Calibri"/>
        <family val="2"/>
      </rPr>
      <t>y</t>
    </r>
  </si>
  <si>
    <r>
      <t xml:space="preserve">RODE LINEAIRE REGRESSIE LIJN VERKLAART DEEL VAN </t>
    </r>
    <r>
      <rPr>
        <b/>
        <sz val="11"/>
        <color rgb="FFFF0000"/>
        <rFont val="Calibri"/>
        <family val="2"/>
      </rPr>
      <t>σ</t>
    </r>
    <r>
      <rPr>
        <b/>
        <vertAlign val="subscript"/>
        <sz val="11"/>
        <color rgb="FFFF0000"/>
        <rFont val="Calibri"/>
        <family val="2"/>
      </rPr>
      <t>x</t>
    </r>
  </si>
  <si>
    <t>HET GAAT EROM DAT JE EEN IDEE KRIJGT VAN DE PRINCIPES EN HOE DIT IN EXCEL KAN</t>
  </si>
  <si>
    <t>DE PARAMETERS a EN b KUNNEN WORDEN BEREKEND UIT HET STELSEL</t>
  </si>
  <si>
    <t>DEZE MATRIX METHODE GEEFT DEZELFDE REGRESSIE LIJN Y OP X ALS OP WERKBLAD LRL</t>
  </si>
  <si>
    <t>OOK HET BEPALEN VAN DE NAUWKEURIGHEID EN STATISTISCHE KENTALLEN VEREISEN AANVULLENDE TECHNIEKEN</t>
  </si>
  <si>
    <t>Je begint met een intelligente keuze of schatting van een vrij geschikte formule.</t>
  </si>
  <si>
    <t>MEETTECHNIEKEN     BEGIN BIJ MEETFOUTEN EN KLIK STEEDS OP VOLGENDE RECHTSONDER</t>
  </si>
  <si>
    <t>PRACTICUM METEN EN MAKEN SCHEIKUNDE MET PDF DOWNLOADS</t>
  </si>
  <si>
    <t>home.fsw.vu.nl/HBG.Ganzeboom/Operationaliseren/College1.pdf</t>
  </si>
  <si>
    <t>MEETFOUT, BETROUWBAARHEID EN VALIDITEIT</t>
  </si>
  <si>
    <t>COLLEGE OPERATIONALISEREN PROF. Dr. HBG GANZEBOOM</t>
  </si>
  <si>
    <t>http://www.youtube.com/watch?v=AWAFFZ7rPDc</t>
  </si>
  <si>
    <t>http://www.youtube.com/watch?v=IrVO4fDXwuc</t>
  </si>
  <si>
    <t>VOETBALSPELER TRACKING MET KALMANFILTER</t>
  </si>
  <si>
    <t>GYROSCOPE MET EN ZONDER KALMANFILTER</t>
  </si>
  <si>
    <r>
      <t>VOORBEELD:                                    y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= p x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+ q   EN                                    y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= p x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+ q</t>
    </r>
  </si>
  <si>
    <t>VOORBEELD: EEN TRENDLIJN GAAT NIET DOOR DE OORSPRONG, TERWIJL DAT THEORETISCH WEL MOET</t>
  </si>
  <si>
    <t>IN DE GRAFIEK IS MET EXCEL EEN POLYNOOM MET VOLGORDE 2 AANGEGEVEN.</t>
  </si>
  <si>
    <t>JE KLIK OP EEN PUNT EN KIEST TRENDLIJN TOEVOEGEN</t>
  </si>
  <si>
    <t>DAARBIJ KUN JE AANGEVEN OM DE FORMULE VOOR DIE LIJN IN DE GRAFIEK WEER TE GEVEN</t>
  </si>
  <si>
    <t>DEZE METHODE IS DE BASIS VOOR DE TRENDLIJN EN FORMULE IN EXCEL</t>
  </si>
  <si>
    <t xml:space="preserve">NIET EINDIGEN OP </t>
  </si>
  <si>
    <t>EEN GETAL MAAR OP X</t>
  </si>
  <si>
    <t>VERSCHILLEN</t>
  </si>
  <si>
    <t>OP WERKBLAD LM HEB JE GEZIEN HOE JE DE FORMULE VOOR EEN POLYNOOM OOK ZELF KUNT BEREKENEN</t>
  </si>
  <si>
    <r>
      <t xml:space="preserve">OP HET </t>
    </r>
    <r>
      <rPr>
        <b/>
        <sz val="11"/>
        <color rgb="FFFF0000"/>
        <rFont val="Calibri"/>
        <family val="2"/>
        <scheme val="minor"/>
      </rPr>
      <t xml:space="preserve">DOMEIN (0 </t>
    </r>
    <r>
      <rPr>
        <b/>
        <u/>
        <sz val="11"/>
        <color rgb="FFFF0000"/>
        <rFont val="Calibri"/>
        <family val="2"/>
        <scheme val="minor"/>
      </rPr>
      <t>&lt;</t>
    </r>
    <r>
      <rPr>
        <b/>
        <sz val="11"/>
        <color rgb="FFFF0000"/>
        <rFont val="Calibri"/>
        <family val="2"/>
        <scheme val="minor"/>
      </rPr>
      <t xml:space="preserve"> X </t>
    </r>
    <r>
      <rPr>
        <b/>
        <u/>
        <sz val="11"/>
        <color rgb="FFFF0000"/>
        <rFont val="Calibri"/>
        <family val="2"/>
        <scheme val="minor"/>
      </rPr>
      <t>&lt;</t>
    </r>
    <r>
      <rPr>
        <b/>
        <sz val="11"/>
        <color rgb="FFFF0000"/>
        <rFont val="Calibri"/>
        <family val="2"/>
        <scheme val="minor"/>
      </rPr>
      <t xml:space="preserve"> 5) </t>
    </r>
    <r>
      <rPr>
        <b/>
        <sz val="11"/>
        <rFont val="Calibri"/>
        <family val="2"/>
        <scheme val="minor"/>
      </rPr>
      <t xml:space="preserve">LIJKT OOK DE FUNCTIE </t>
    </r>
    <r>
      <rPr>
        <b/>
        <sz val="11"/>
        <color rgb="FFFF0000"/>
        <rFont val="Calibri"/>
        <family val="2"/>
        <scheme val="minor"/>
      </rPr>
      <t>Y = 0,6 * X</t>
    </r>
    <r>
      <rPr>
        <b/>
        <vertAlign val="superscript"/>
        <sz val="11"/>
        <color rgb="FFFF0000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GOED DOOR DE MEETWAARDEN TE GAAN </t>
    </r>
  </si>
  <si>
    <t>POLYNOOM VOLGORDE 2 MET SNIJPUNT DOOR OORSPRONG VOLDOET VRIJ GOED</t>
  </si>
  <si>
    <t>JE KUNT DUS NIET ZOMAAR ZEGGEN DAT DIT DE JUISTE FORMULE IS</t>
  </si>
  <si>
    <t>HIERONDER ZIJN DE FORMULES UITGEZET TEGEN Y</t>
  </si>
  <si>
    <t>HIERONDER IS HET VERSCHIL = FORMULE - Y  UITGEZET TEGEN X</t>
  </si>
  <si>
    <t>IN DE GRAFIEK ZIJN NAAST DE FUNCTIES OOK TWEE TRENDLIJNEN AANGEGEVEN</t>
  </si>
  <si>
    <t>EENPARIG VERSNELDE BEWEGING</t>
  </si>
  <si>
    <t xml:space="preserve">DAN DE  DOOR EXCEL GEGEVEN TRENDLIJNEN EN FORMULES </t>
  </si>
  <si>
    <t xml:space="preserve">OMDAT HET HIER GING OM EEN EENPARIG VERSNELDE BEWEGING IS DEZE EENVOUDIGERE FORMULE ZELFS BETER </t>
  </si>
  <si>
    <t>METHODE: LOS X OP EN VERWISSEL X EN Y</t>
  </si>
  <si>
    <t>MAAR WORDT WEL (ONEVENREDIG ZWAAR) BEINVLOED DOOR HET EERSTE MEETPUNT</t>
  </si>
  <si>
    <r>
      <t>THEORETISCH BEST FIT    Y = 0,6 X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</si>
  <si>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VWO6 ONDERZOEKSVAARDIGHEID (MRM)</t>
  </si>
  <si>
    <t>EXCEL GEEFT DEZE FORMULE ALLEEN IN DE GAFIEK X OP Y</t>
  </si>
  <si>
    <t xml:space="preserve">IN DE NATUURKUNDE SPELEN TOLERANTIES EN HET BEPALEN VAN EEN LIJN DOOR MEERDERE PUNTEN EEN ROL </t>
  </si>
  <si>
    <t>WAARSCHUWING 2:</t>
  </si>
  <si>
    <r>
      <t>VOORBEELD 6</t>
    </r>
    <r>
      <rPr>
        <b/>
        <vertAlign val="superscript"/>
        <sz val="11"/>
        <color theme="1"/>
        <rFont val="Calibri"/>
        <family val="2"/>
        <scheme val="minor"/>
      </rPr>
      <t xml:space="preserve">e </t>
    </r>
    <r>
      <rPr>
        <b/>
        <sz val="11"/>
        <color theme="1"/>
        <rFont val="Calibri"/>
        <family val="2"/>
        <scheme val="minor"/>
      </rPr>
      <t>GRAADS POLYNOOM:   y = a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+ a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x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+ a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x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+ a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x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+ a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x</t>
    </r>
    <r>
      <rPr>
        <b/>
        <vertAlign val="super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+ a</t>
    </r>
    <r>
      <rPr>
        <b/>
        <vertAlign val="subscript"/>
        <sz val="11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 xml:space="preserve"> x</t>
    </r>
    <r>
      <rPr>
        <b/>
        <vertAlign val="superscript"/>
        <sz val="11"/>
        <color theme="1"/>
        <rFont val="Calibri"/>
        <family val="2"/>
        <scheme val="minor"/>
      </rPr>
      <t xml:space="preserve">5 </t>
    </r>
    <r>
      <rPr>
        <b/>
        <sz val="11"/>
        <color theme="1"/>
        <rFont val="Calibri"/>
        <family val="2"/>
        <scheme val="minor"/>
      </rPr>
      <t>+ a</t>
    </r>
    <r>
      <rPr>
        <b/>
        <vertAlign val="subscript"/>
        <sz val="11"/>
        <color theme="1"/>
        <rFont val="Calibri"/>
        <family val="2"/>
        <scheme val="minor"/>
      </rPr>
      <t xml:space="preserve">6 </t>
    </r>
    <r>
      <rPr>
        <b/>
        <sz val="11"/>
        <color theme="1"/>
        <rFont val="Calibri"/>
        <family val="2"/>
        <scheme val="minor"/>
      </rPr>
      <t>x</t>
    </r>
    <r>
      <rPr>
        <b/>
        <vertAlign val="superscript"/>
        <sz val="11"/>
        <color theme="1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 xml:space="preserve"> </t>
    </r>
  </si>
  <si>
    <r>
      <t>VOOR ELK AANTAL PUNTEN  KUN JE EEN FUNCTIE KIEZEN IN DE VORM VAN y(x) =  a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+ </t>
    </r>
    <r>
      <rPr>
        <b/>
        <sz val="11"/>
        <color theme="1"/>
        <rFont val="Calibri"/>
        <family val="2"/>
      </rPr>
      <t>∑  a</t>
    </r>
    <r>
      <rPr>
        <b/>
        <vertAlign val="subscript"/>
        <sz val="11"/>
        <color theme="1"/>
        <rFont val="Calibri"/>
        <family val="2"/>
      </rPr>
      <t xml:space="preserve">i </t>
    </r>
    <r>
      <rPr>
        <b/>
        <sz val="11"/>
        <color theme="1"/>
        <rFont val="Calibri"/>
        <family val="2"/>
      </rPr>
      <t>* x</t>
    </r>
    <r>
      <rPr>
        <b/>
        <vertAlign val="subscript"/>
        <sz val="11"/>
        <color theme="1"/>
        <rFont val="Calibri"/>
        <family val="2"/>
      </rPr>
      <t>i</t>
    </r>
    <r>
      <rPr>
        <b/>
        <vertAlign val="superscript"/>
        <sz val="14"/>
        <color theme="1"/>
        <rFont val="Calibri"/>
        <family val="2"/>
      </rPr>
      <t>e</t>
    </r>
    <r>
      <rPr>
        <b/>
        <vertAlign val="superscript"/>
        <sz val="11"/>
        <color theme="1"/>
        <rFont val="Calibri"/>
        <family val="2"/>
      </rPr>
      <t>i</t>
    </r>
  </si>
  <si>
    <r>
      <t>VERVOLGENS KUN JE MET GROTE MATRICES a</t>
    </r>
    <r>
      <rPr>
        <b/>
        <vertAlign val="subscript"/>
        <sz val="11"/>
        <color theme="1"/>
        <rFont val="Calibri"/>
        <family val="2"/>
        <scheme val="minor"/>
      </rPr>
      <t xml:space="preserve">0 </t>
    </r>
    <r>
      <rPr>
        <b/>
        <sz val="11"/>
        <color theme="1"/>
        <rFont val="Calibri"/>
        <family val="2"/>
        <scheme val="minor"/>
      </rPr>
      <t>T/M a</t>
    </r>
    <r>
      <rPr>
        <b/>
        <vertAlign val="subscript"/>
        <sz val="11"/>
        <color theme="1"/>
        <rFont val="Calibri"/>
        <family val="2"/>
        <scheme val="minor"/>
      </rPr>
      <t xml:space="preserve">n </t>
    </r>
    <r>
      <rPr>
        <b/>
        <sz val="11"/>
        <color theme="1"/>
        <rFont val="Calibri"/>
        <family val="2"/>
        <scheme val="minor"/>
      </rPr>
      <t xml:space="preserve">BEREKENEN </t>
    </r>
  </si>
  <si>
    <t>DE EXCEL POLYNOOM VOLGORDE 2 IS NAGENOEG EXACT GELIJK AAN DE IN VOORBEELD 2 BEREKENDE PARABOOL</t>
  </si>
  <si>
    <t>"THEORETISCH VERBAND" OF "THEORETISCH BEST FIT"  BEPALEN MET INTELLIGENTE TRIAL &amp; ERROR</t>
  </si>
  <si>
    <t>IN EXCEL UN JE DE FORMULE WEEGEVEN EN BEKIJKEN IN DE GRAFIEK</t>
  </si>
  <si>
    <t>EEN POLYNOOM IS ECHTER NIET HETZELFDE ALS HET THEORETISCH VERBAND OF EEN THEORETISCH BEST FIT</t>
  </si>
  <si>
    <r>
      <t xml:space="preserve">HIERMEE BEDOELEN WE EEN </t>
    </r>
    <r>
      <rPr>
        <b/>
        <sz val="11"/>
        <color rgb="FFFF0000"/>
        <rFont val="Calibri"/>
        <family val="2"/>
        <scheme val="minor"/>
      </rPr>
      <t>"THEORETISCH BEST FIT"</t>
    </r>
    <r>
      <rPr>
        <b/>
        <sz val="11"/>
        <color theme="1"/>
        <rFont val="Calibri"/>
        <family val="2"/>
        <scheme val="minor"/>
      </rPr>
      <t xml:space="preserve"> DIE VOLDOET AAN DE THEORIE EN ALLE ESSENTIELE VOORWAARDEN</t>
    </r>
  </si>
  <si>
    <t>OOK GEBRUIK MAKEN VAN DE MINIMUM KWADRATEN METHODE (O.A. VOOR DE AFWIJKINGEN T.O.V. DE FORMULE)</t>
  </si>
  <si>
    <t>VOOR VERSCHIL =  FUNCTIE - Y</t>
  </si>
  <si>
    <t xml:space="preserve"> Y = a + b*x^n</t>
  </si>
  <si>
    <t>DEZE GRAFISCHE BENADERING MAAKT DE AFWIJKINGEN T.O.V. DE VERSCHILLENDE FORMULES BETER ZICHTBAAR</t>
  </si>
  <si>
    <t>EN OOK WELKE FUNCTIE HET MEEST GESCHIKT LIJKT</t>
  </si>
  <si>
    <t>Y= aX + b</t>
  </si>
  <si>
    <t>FUNCTIE</t>
  </si>
  <si>
    <t>GEMIDDELDE = -b</t>
  </si>
  <si>
    <t>ALS JE EEN ANDERE LIJN WILT GEBRUIKEN MOET DEZE DOOR BEIDEN GEMIDDELDEN GAAN</t>
  </si>
  <si>
    <t>EEN LIJN DOOR EEN PUNT Y(0) = P KRIJGT DAN DE RICHTING  a = (Y- P) / X</t>
  </si>
  <si>
    <r>
      <t>= Y</t>
    </r>
    <r>
      <rPr>
        <b/>
        <vertAlign val="subscript"/>
        <sz val="11"/>
        <color theme="1"/>
        <rFont val="Calibri"/>
        <family val="2"/>
        <scheme val="minor"/>
      </rPr>
      <t>g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</rPr>
      <t>-a</t>
    </r>
    <r>
      <rPr>
        <b/>
        <vertAlign val="subscript"/>
        <sz val="11"/>
        <color theme="1"/>
        <rFont val="Calibri"/>
        <family val="2"/>
      </rPr>
      <t>inv</t>
    </r>
    <r>
      <rPr>
        <b/>
        <sz val="11"/>
        <color theme="1"/>
        <rFont val="Calibri"/>
        <family val="2"/>
      </rPr>
      <t>*X</t>
    </r>
    <r>
      <rPr>
        <b/>
        <vertAlign val="subscript"/>
        <sz val="11"/>
        <color theme="1"/>
        <rFont val="Calibri"/>
        <family val="2"/>
      </rPr>
      <t>g</t>
    </r>
  </si>
  <si>
    <t xml:space="preserve">        =1/E30</t>
  </si>
  <si>
    <t>=(E23*D30)</t>
  </si>
  <si>
    <t>=E28*(1-I37^2)^0,5</t>
  </si>
  <si>
    <t>σx</t>
  </si>
  <si>
    <t>MINIMUM</t>
  </si>
  <si>
    <t>MINIMAAL</t>
  </si>
  <si>
    <t xml:space="preserve">GEMIDDELDEMOET 1,93 OMHOOG </t>
  </si>
  <si>
    <t>DEZE FUNCTIE IS HETZELFDE ALS VOOR DE EXCEL TRENDLIJN</t>
  </si>
  <si>
    <t>Xg =</t>
  </si>
  <si>
    <t>Yg =</t>
  </si>
  <si>
    <t>LIJN DOOR OORSPRONG  Y = Yg/Xg * X = 1,109 *X</t>
  </si>
  <si>
    <t>RECHTE LIJN</t>
  </si>
  <si>
    <t>MACHTSFUNCTIE</t>
  </si>
  <si>
    <t>NU ZONDER ANOMALIE BIJ X =1</t>
  </si>
  <si>
    <t>KENNELIJK IS Y = 0,6 * X^2,01    NOG NET IETS  BETER DAN Y = 0,6*X^2</t>
  </si>
  <si>
    <t>YF-Y</t>
  </si>
  <si>
    <t xml:space="preserve">EXPONENTIELE FUNCTIE </t>
  </si>
  <si>
    <t>ZONDER ANOMALIE BIJ X =1</t>
  </si>
  <si>
    <t xml:space="preserve"> Y = a + b*e^cx</t>
  </si>
  <si>
    <t>GEVONDEN BESTE EXPONENTIELE FUNCTIE  Y = 0,17 + 0,7 * e^(0,621*X)</t>
  </si>
  <si>
    <t>GEVONDEN BESTE FUNCTIE Y = 0,31361 + 0,57 * X^2.02</t>
  </si>
  <si>
    <t>Y = 0,6 * X^2,01</t>
  </si>
  <si>
    <t>Y = 0,17 + 0,7*e^(0,621*X)</t>
  </si>
  <si>
    <t xml:space="preserve"> Y = 0,31361 + 0,57 * X^2,02</t>
  </si>
  <si>
    <t>ER IS WEINIG VERSCHIL TUSSEN DE TWEE POLYNOMEN</t>
  </si>
  <si>
    <t xml:space="preserve">MAAR VOOR EEN EENPARIG VERSNELDE BEWEGING IS </t>
  </si>
  <si>
    <r>
      <t xml:space="preserve">Y = 0,6* X </t>
    </r>
    <r>
      <rPr>
        <b/>
        <vertAlign val="superscript"/>
        <sz val="11"/>
        <color rgb="FFFF0000"/>
        <rFont val="Calibri"/>
        <family val="2"/>
        <scheme val="minor"/>
      </rPr>
      <t>2,01</t>
    </r>
  </si>
  <si>
    <t>BIJ DIT OPTIMALISATIEPROCES IS GEBRUIK GEMAAKT VAN DE EXCEL FUNCTIE MINIMUM EN DE VOORWAARDELJKE OPMAAK</t>
  </si>
  <si>
    <t>VERGELIJK VAN GEVONDEN FUNCTIES IN GRAFIEK</t>
  </si>
  <si>
    <t>EN VERGELIJKEN</t>
  </si>
  <si>
    <t xml:space="preserve">DE EXPONENTIELE FUNCTIE VOLDOET HET MINST </t>
  </si>
  <si>
    <t>JE HEBT NU WEL GEZIEN DAT HOE JE ALLERLEI FUNCTIES KUNT VASTSTELLEN</t>
  </si>
  <si>
    <t>HIERONDER WORDEN VOOR VERSCHILLENDE FUNCTIES DE PARAMETERS NET ZO LANG GEVARIEERD TODAT STDEVP VAN DE VERSCHILLEN ZO KLEIN MOGELIJK IS GEMAAKT</t>
  </si>
  <si>
    <t>IN DE ONDERSTAANDE BIJLAGEN STAAT HOE JE HET GEMIDDELDE EN DE STANDAARDAFWIJKING KUNT BEREKENEN, OOK ALS HET GEEN NORMALE VERDELING IS</t>
  </si>
  <si>
    <t xml:space="preserve">  KLIK EENS OP DEZE GETALLEN EN KIJK OOK IN DE EDIT LIJN</t>
  </si>
  <si>
    <t xml:space="preserve">IN DE WISKUNDIG HEEFT Y = a X + b VEELAL GEGEVEN PARAMETERS </t>
  </si>
  <si>
    <t>SOMS WORDEN TWEE PUNTEN GEGEVEN            a = (Y2 - Y1) / (X2 - X1)    EN    b = Y2 - a* X1</t>
  </si>
  <si>
    <t>NIET LINEAIR</t>
  </si>
  <si>
    <t>DAARBIJ KUN JE ERVOOR KIEZEN DE FUNCTIE VOOR DIE POLYNOOM IN DE GRAFIEK WEER TE GEVEN</t>
  </si>
  <si>
    <t xml:space="preserve">DE POLYNOMEN HEBBEN DE VORM </t>
  </si>
  <si>
    <t>(EEN AANTAL KAN NUL ZIJN)</t>
  </si>
  <si>
    <r>
      <t>= a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+ a</t>
    </r>
    <r>
      <rPr>
        <b/>
        <vertAlign val="sub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X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+ a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X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+ a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X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+ a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X</t>
    </r>
    <r>
      <rPr>
        <b/>
        <vertAlign val="super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+ a</t>
    </r>
    <r>
      <rPr>
        <b/>
        <vertAlign val="subscript"/>
        <sz val="11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 xml:space="preserve"> X</t>
    </r>
    <r>
      <rPr>
        <b/>
        <vertAlign val="superscript"/>
        <sz val="11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 xml:space="preserve"> + a</t>
    </r>
    <r>
      <rPr>
        <b/>
        <vertAlign val="subscript"/>
        <sz val="11"/>
        <color theme="1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 xml:space="preserve"> X</t>
    </r>
    <r>
      <rPr>
        <b/>
        <vertAlign val="superscript"/>
        <sz val="11"/>
        <color theme="1"/>
        <rFont val="Calibri"/>
        <family val="2"/>
        <scheme val="minor"/>
      </rPr>
      <t>6</t>
    </r>
  </si>
  <si>
    <t xml:space="preserve">HIERONDER STAAT EEN TABEL MET MEETWAARDEN, EEN GRAFIEK MET ENKELE TRENDLIJNEN EN DE BIJBEHORENDE FORMULES </t>
  </si>
  <si>
    <t>DE LINEAIRE TRENDLIJN WORDT OOK WEL LINEAIRE REGRESSIELIJN GENOEMD</t>
  </si>
  <si>
    <t>DAARBIJ IS SPREIDING VAN DE MEETWAARDEN T.O.V. DE LIJN MINIMAAL</t>
  </si>
  <si>
    <t>ALS DE RELATIE VAN DE MEETPUNTEN NIET LINEAIR IS KUN JE IN EXCEL GEBRUIK MAKEN TRENDLIJN POLYNOOM</t>
  </si>
  <si>
    <t>POLYNOMEN MEER ALGEMEEN</t>
  </si>
  <si>
    <t>IN WERKBLAD LM STAAT HOE POLYNOMEN WORDEN BEPAALD EN HOE JE DE PARAMETERS ZELF KUNT BEREKENEN</t>
  </si>
  <si>
    <r>
      <t>HET IS OOK MOGELIJK DAT HET THEORETISCH VERBAND EEN HYPERBOOL OF EEN n</t>
    </r>
    <r>
      <rPr>
        <b/>
        <vertAlign val="super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MACHT WORTEL BETREFT.</t>
    </r>
  </si>
  <si>
    <t>EXCEL GEEFT BIJ DE TRENDLIJNEN FORMULES VAN POLYNOMEN MET GEHELE MACHTEN VAN X.</t>
  </si>
  <si>
    <r>
      <t>HET GEZOCHTE THEORETISCH VERBAND HOEFT ECHTER NIET PERSE EEN n</t>
    </r>
    <r>
      <rPr>
        <b/>
        <vertAlign val="super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MACHTS FUNCTIE TE ZIJN.</t>
    </r>
  </si>
  <si>
    <t>HEEL VEEL KROMME LIJNEN KUNNEN REEDS VRIJ NAUWKEURIG WORDEN BENADERD DOOR EEN DEEL VAN EEN PARABOOL = 2e GRAADS POLYNOOM</t>
  </si>
  <si>
    <t>INTELLIGENTE TRIAL &amp; ERROR METHOD OP WERKBLADEN ITE EN ITE-FV</t>
  </si>
  <si>
    <r>
      <t>MET  a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 EN  a</t>
    </r>
    <r>
      <rPr>
        <b/>
        <vertAlign val="subscript"/>
        <sz val="11"/>
        <color theme="1"/>
        <rFont val="Calibri"/>
        <family val="2"/>
        <scheme val="minor"/>
      </rPr>
      <t xml:space="preserve">i   </t>
    </r>
    <r>
      <rPr>
        <b/>
        <sz val="11"/>
        <color theme="1"/>
        <rFont val="Calibri"/>
        <family val="2"/>
        <scheme val="minor"/>
      </rPr>
      <t>DECIMALE GEALLEN EN  e</t>
    </r>
    <r>
      <rPr>
        <b/>
        <vertAlign val="subscript"/>
        <sz val="14"/>
        <color theme="1"/>
        <rFont val="Calibri"/>
        <family val="2"/>
        <scheme val="minor"/>
      </rPr>
      <t>i</t>
    </r>
    <r>
      <rPr>
        <b/>
        <sz val="14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>GEHEEL  GETAL</t>
    </r>
  </si>
  <si>
    <r>
      <t>EEN EXCEL POLYNOOM VOLGORDE n GEEFT IN PRINCIPE EEN n</t>
    </r>
    <r>
      <rPr>
        <b/>
        <vertAlign val="super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GRAADS POLYNOOM MET HOOGSTE MACHT = n</t>
    </r>
  </si>
  <si>
    <t>EEN POLYNOOM BESTAAT UIT EEN AANTAL TERMEN MET MACHTEN VAN X, WAARBIJ DE AFWIJKING VAN DE MEETWAARDEN MINIMAAL IS</t>
  </si>
  <si>
    <r>
      <t>INDIEN MEER NAUWKEURIGHEID NOODZAKELIJK IS KUN JE EEN POLYNOOM BEREKEN MET e</t>
    </r>
    <r>
      <rPr>
        <b/>
        <vertAlign val="subscript"/>
        <sz val="11"/>
        <color theme="1"/>
        <rFont val="Calibri"/>
        <family val="2"/>
        <scheme val="minor"/>
      </rPr>
      <t xml:space="preserve">i </t>
    </r>
    <r>
      <rPr>
        <b/>
        <sz val="11"/>
        <color theme="1"/>
        <rFont val="Calibri"/>
        <family val="2"/>
        <scheme val="minor"/>
      </rPr>
      <t xml:space="preserve">= DECIMAAL GETAL EN DE METHODE OP WERKBLAD LM </t>
    </r>
  </si>
  <si>
    <t>DEZE METHODE IS OOK GESCHIKT OOK VOOR ALLE ANDERE FUNCTIES, ZOALS EXPONENTELE EN LOGARITMISCHE VERBANDEN</t>
  </si>
  <si>
    <t xml:space="preserve">DE METHODE IS NIET ECHT MOEILIJK, MAAR VEREIST WEL VOLDOENDE INZICHT IN WISKUNDIGE FUNCTIES </t>
  </si>
  <si>
    <r>
      <t>VEELAL WORDT e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 xml:space="preserve"> = i GEBRUIKT, DUS GEHELE GETALLEN VAN 1 T/M n</t>
    </r>
  </si>
  <si>
    <r>
      <t>VOOR FUNCTIES ALS HYPERBOLEN EN WORTELFUNCTIES KUN JE VOOR e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 xml:space="preserve"> OOK RE</t>
    </r>
    <r>
      <rPr>
        <b/>
        <sz val="11"/>
        <color theme="1"/>
        <rFont val="Calibri"/>
        <family val="2"/>
      </rPr>
      <t>Ë</t>
    </r>
    <r>
      <rPr>
        <b/>
        <sz val="11"/>
        <color theme="1"/>
        <rFont val="Calibri"/>
        <family val="2"/>
        <scheme val="minor"/>
      </rPr>
      <t>LE GETALLEN GEBRUIKEN</t>
    </r>
  </si>
  <si>
    <t xml:space="preserve">OOK BIJ EEN SOM VAN EXPONENTELE TERMEN KUNNEN POLYNOMEN WORDEN GEBRUIKT, MAAR DAN KUNNEN DEZE </t>
  </si>
  <si>
    <t>OOK EXPONENTIELE EN LOGARITMISCHE FUNCTIES KUNNEN NAUWKEURIG WORDEN BENADERD DOOR POLYNOMEN</t>
  </si>
  <si>
    <t>NOG GEAVANCEERDER</t>
  </si>
  <si>
    <t xml:space="preserve">WAARSCHUWING </t>
  </si>
  <si>
    <t>BIJ HET AFDWINGEN VAN EEN SNIJPUNT GEEFT EXCEL NIET JUISTE TRENDLIJN EN FORMULE</t>
  </si>
  <si>
    <r>
      <t>BOVENDIEN KAN HET VERBAND ANDERS ZIJN DAN EEN n</t>
    </r>
    <r>
      <rPr>
        <b/>
        <vertAlign val="super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GRAADS POLYNOOM (BV EXPONENTIEEL OF SINUSVORMIG)</t>
    </r>
  </si>
  <si>
    <r>
      <t xml:space="preserve">RELATIEF EENVOUDIG EN TOCH VRIJ NAUWKEURIG ALLE </t>
    </r>
    <r>
      <rPr>
        <b/>
        <sz val="11"/>
        <color rgb="FFFF0000"/>
        <rFont val="Calibri"/>
        <family val="2"/>
        <scheme val="minor"/>
      </rPr>
      <t xml:space="preserve">THEORETISCHE VERBANDEN </t>
    </r>
    <r>
      <rPr>
        <b/>
        <sz val="11"/>
        <color theme="1"/>
        <rFont val="Calibri"/>
        <family val="2"/>
        <scheme val="minor"/>
      </rPr>
      <t>KUNNEN WORDEN BEPAALD</t>
    </r>
  </si>
  <si>
    <t>BESTE KEUS</t>
  </si>
  <si>
    <t>MET DEZE ITE METHODE KAN VAAK VRIJ SNEL EEN ZEER NAUWKERIG RESULTAAT WORDEN BEREIKT</t>
  </si>
  <si>
    <t>DE FUNCTIE IS VERVOLGENS DUSDANIG OMHOOG OF OMLAAG GESCHOVEN DAT HET BIJBEHORENDE GEMIDDELDE VAN DE AFWIJKINGENNAGENOEG NUL IS</t>
  </si>
  <si>
    <t>KLIK OP DE CELLEN OM TE ZIEN HOE DIT GEDAAN IS, EN KAN WORDEN</t>
  </si>
  <si>
    <r>
      <t xml:space="preserve">OOK BIJ POLYNOMEN MOET JE DUS </t>
    </r>
    <r>
      <rPr>
        <b/>
        <u/>
        <sz val="11"/>
        <color rgb="FFFF0000"/>
        <rFont val="Calibri"/>
        <family val="2"/>
        <scheme val="minor"/>
      </rPr>
      <t>DE OPTIE SNIJPUNT Y-AS NIET GEBRUIKEN</t>
    </r>
  </si>
  <si>
    <t>DE SPREIDING OM DERGELIJKE LIJNEN WORDT DAN GROTER DAN BIJ DE RODE LIJN</t>
  </si>
  <si>
    <r>
      <t xml:space="preserve">DAAROM MOET JE DE EXCEL FUNCTIE SNIJPUNT Y(0) = b </t>
    </r>
    <r>
      <rPr>
        <b/>
        <u/>
        <sz val="11"/>
        <color rgb="FFFF0000"/>
        <rFont val="Calibri"/>
        <family val="2"/>
        <scheme val="minor"/>
      </rPr>
      <t>NIET GEBRUIKEN</t>
    </r>
  </si>
  <si>
    <r>
      <t xml:space="preserve">IN DIT VOORBEELD IS DIT DE RODE LIJN </t>
    </r>
    <r>
      <rPr>
        <b/>
        <sz val="11"/>
        <color rgb="FFFF0000"/>
        <rFont val="Calibri"/>
        <family val="2"/>
        <scheme val="minor"/>
      </rPr>
      <t>Y = 0,7068 X - 4,1983</t>
    </r>
  </si>
  <si>
    <t>BIJ EEN TWEEDE PUNT (A,B) WORDT DE RICHTING a = ( Y-B ) / ( X-A ) EN b = Y - a X</t>
  </si>
  <si>
    <t>DEZE LIJN IS GEBASEERD OP DE MINIMUM KWADRATEN METHODE</t>
  </si>
  <si>
    <t>IN EXCEL KUN JE BIJ EEN TRENDLIJN ER OOK VOOR KIEZEN OM EEN SNIJPUNT VOOR DE Y-AS IN TE STELLEN</t>
  </si>
  <si>
    <t>DE DOOR EXCEL GEGEVEN ZWARTE FORMULE IS INDERDAAD GELIJK AAN DE RODE FORMULE WAAR MEE WAS BEGONNEN</t>
  </si>
  <si>
    <t xml:space="preserve">DE BOVENSTAANDE FORMULES KUNNEN OOK VRIJ EENVOUDIG EN NAUWKEURIG WORDEN BEPAALD MET DE </t>
  </si>
  <si>
    <t>ALGEMENE METHODE VOOR ALLERLEI TYPEN FUNCTIES</t>
  </si>
  <si>
    <t>EN OOK VOLDOENDE ERVARING MET ZELF WERKEN IN EXCEL</t>
  </si>
  <si>
    <t>ALS DE NAUWKEURIGHEID WAARIN JE GEINTERESSEERD BENT</t>
  </si>
  <si>
    <t xml:space="preserve">VUISTREGEL:  DE MEETNAUWKEURIGHEID VAN EEN MEETINSTRUMENT MOET TENMINSTE 10 KEER ZO NAUWKEURIG ZIJN </t>
  </si>
  <si>
    <t>BIJ SAMENGESTELDE METINGEN MOET WELLICHT NOG NAUWKEURIGER WORDEN GEWERKT</t>
  </si>
  <si>
    <t>ITE EN FUNCTIES BEPALEN, VERGELIJKEN EN SELECTEREN</t>
  </si>
  <si>
    <t>FUNCTIE SELECTEREN</t>
  </si>
  <si>
    <t>HIERONDER STAAT NOGMAALS DE GRAFIEK OP WERKBLAD FVP</t>
  </si>
  <si>
    <r>
      <t xml:space="preserve">IN DIT VOORBEELD IS DE </t>
    </r>
    <r>
      <rPr>
        <b/>
        <sz val="11"/>
        <color theme="3"/>
        <rFont val="Calibri"/>
        <family val="2"/>
        <scheme val="minor"/>
      </rPr>
      <t>BLAUWE LIJN</t>
    </r>
    <r>
      <rPr>
        <b/>
        <sz val="11"/>
        <color theme="1"/>
        <rFont val="Calibri"/>
        <family val="2"/>
        <scheme val="minor"/>
      </rPr>
      <t xml:space="preserve"> DOOR DE OORSPRONG Y = (Y/X)*X = 17,5 X </t>
    </r>
  </si>
  <si>
    <t xml:space="preserve">BY SNIJPUNT Y-As = 0 GEEFT EXCEL DE ZWARTE LIJN Y = 0,7296 X, </t>
  </si>
  <si>
    <r>
      <t xml:space="preserve">DUS DOOR DE OORSPRONG EN </t>
    </r>
    <r>
      <rPr>
        <b/>
        <u/>
        <sz val="11"/>
        <color theme="1"/>
        <rFont val="Calibri"/>
        <family val="2"/>
        <scheme val="minor"/>
      </rPr>
      <t>BIJNA</t>
    </r>
    <r>
      <rPr>
        <b/>
        <sz val="11"/>
        <color theme="1"/>
        <rFont val="Calibri"/>
        <family val="2"/>
        <scheme val="minor"/>
      </rPr>
      <t xml:space="preserve"> PARALLEL AAN DE RODE LIJN</t>
    </r>
  </si>
  <si>
    <t>HIERONDER STAAT NOGMAALS DE GRAFIEK UIT WERKBLAD FVP MET DE NIET LINEAIRE MEETWAARDEN</t>
  </si>
  <si>
    <t>BIJ DE POLYNOMEN IS NU GEBRUIK GEMAAKT VAN DE OPTIE SNIJPUNT Y-AS = 0</t>
  </si>
  <si>
    <t xml:space="preserve">MERK OP DAT DE </t>
  </si>
  <si>
    <t>FUNCTIES NU</t>
  </si>
  <si>
    <t>OOK IN DIT VOORBEELD HEEFT HET  AFDWINGEN VAN EEN SNIJPUNT Y(0) = 0 GEEN ENKEL NUT</t>
  </si>
  <si>
    <t>EN DAT DE PARAMETERS</t>
  </si>
  <si>
    <t>Gebaseerd op een zeer groot aantal waarnemingen W = N</t>
  </si>
  <si>
    <t xml:space="preserve"> = Rf(x)                       </t>
  </si>
  <si>
    <t>=STDEVP(A4:A13)</t>
  </si>
  <si>
    <t>=E28*(1-E37^2)^0,5</t>
  </si>
  <si>
    <t xml:space="preserve">= E20-E32*E27    </t>
  </si>
  <si>
    <t>=CORRELATIE(A7:A16;B7:B16)</t>
  </si>
  <si>
    <t>=CORRELATIE(B7:B16;A7:A16)</t>
  </si>
  <si>
    <t>DAAROM MOET JE DEZE EXCEL OPTIE NIET GEBRUIKEN (ZIE TOELICHTING OP WERKBLAD EF)</t>
  </si>
  <si>
    <t>DE EXCEL OPTIE SNIJPUNT Y-AS = 0 GEEFT DE ZWARTE LIJN Y = 1,0338 X</t>
  </si>
  <si>
    <t>OOK HIER BLIJKT WEER DAT JE DE EXCEL OPTIE SNIJPUNT Y-AS NIET MOET GEBRUIKEN</t>
  </si>
  <si>
    <r>
      <t xml:space="preserve">DE EXCEL FUNCTIE SNIJPUNT Y(0) = b MOET JE </t>
    </r>
    <r>
      <rPr>
        <b/>
        <u/>
        <sz val="11"/>
        <color rgb="FFFF0000"/>
        <rFont val="Calibri"/>
        <family val="2"/>
        <scheme val="minor"/>
      </rPr>
      <t xml:space="preserve">NIET GEBRUIKEN   </t>
    </r>
    <r>
      <rPr>
        <b/>
        <sz val="11"/>
        <color rgb="FFFF0000"/>
        <rFont val="Calibri"/>
        <family val="2"/>
        <scheme val="minor"/>
      </rPr>
      <t xml:space="preserve"> (ZIE TOELICHTING OP WERKBLAD EF)</t>
    </r>
  </si>
  <si>
    <t>HIERONDER STAAT NOGMAALS DE EERSTE GRAFIEK UIT WERKBLAD ITE-FV</t>
  </si>
  <si>
    <t xml:space="preserve">IN DE GRAFIEK ZIJN NU DE GEMIDDELDEN X = - 0,25 EN Y = -4,375 AANGEGEVEN </t>
  </si>
  <si>
    <t>ALS JE EEN ANDERE LIJN DAN DE REGRESSIELIJN WILT GEBRUIKEN MOET DEZE DOOR GEMIDDELDEN GAAN</t>
  </si>
  <si>
    <t>EEN LINEAIRE TRENDLIJN DOOR MEETPUNTEN GEEFT DE FORMULES ZONDER LOG</t>
  </si>
  <si>
    <t>MET MACHTEN VAN 10 KRIJG JE DE OORSPRONKELIJKE WAARDEN TERUG</t>
  </si>
  <si>
    <t>DIT IS HANDIG OM BIJ MEETWAARDEN VAN EEN EXPONENTIELE FUNCTIE DE PARAMETERS TE BEPALEN</t>
  </si>
  <si>
    <t>10^0,301 =</t>
  </si>
  <si>
    <t>10^-0,699=</t>
  </si>
  <si>
    <t>10^1,0792=</t>
  </si>
  <si>
    <t>10^0,7782=</t>
  </si>
  <si>
    <t xml:space="preserve">ONTHOUD: "EEN LOG DIE DOM IS, MAAKT RECHT WAT KROM IS, </t>
  </si>
  <si>
    <t xml:space="preserve">VUISTREGEL SIGNIFICANTIE VOOR MEETWAARDEN MET ONZEKERHEID </t>
  </si>
  <si>
    <t>DE TRUC MET DE TRENDLIJN WERKT NU NIET</t>
  </si>
  <si>
    <t xml:space="preserve">     MAAR ALLEEN BIJ PRODUCTEN MET POSITIEVE GETALLEN EN NIET BIJ EEN SOM"</t>
  </si>
  <si>
    <t>ALS SLECHTS ENKELE GETALLEN NEGATIEF ZIJN KUN JE DEZE WELLICHT EVEN VEILIG BUITEN BESCHOUWING LATEN</t>
  </si>
  <si>
    <t xml:space="preserve">SOMS KUN JE DE MEETWAARDEN IN TWEE GROEPEN DELEN EN GEBRUIK MAKEN VAN ABSOLUTE WAARDEN </t>
  </si>
  <si>
    <t>AFHANKELIJK VAN DE GEZOCHTE FUNCTIE MOGEN NEGATIEVE WAARDEN ECHTER SOMS OOK ALS POSITIEF WORDEN GEBRUIKT</t>
  </si>
  <si>
    <t>Log(x)</t>
  </si>
  <si>
    <t>Log(y)</t>
  </si>
  <si>
    <r>
      <t>Y = a X</t>
    </r>
    <r>
      <rPr>
        <b/>
        <vertAlign val="superscript"/>
        <sz val="11"/>
        <color theme="1"/>
        <rFont val="Calibri"/>
        <family val="2"/>
        <scheme val="minor"/>
      </rPr>
      <t>b</t>
    </r>
  </si>
  <si>
    <t>Met a = 10^-0,2759 =</t>
  </si>
  <si>
    <t xml:space="preserve">   en b = 2,1027</t>
  </si>
  <si>
    <t xml:space="preserve">DIT IS VEELAL ALLEEN NUTTIG ALS JE TE MAKEN HEBT MET EEN ENKEL PRODUCT  </t>
  </si>
  <si>
    <t>VOORBEELD:</t>
  </si>
  <si>
    <t>GEVONDEN FUNCTIES</t>
  </si>
  <si>
    <t>DEZE TRENDLIJN EN FUNTIE IS GEBASSERD OP EEN MINIMALE</t>
  </si>
  <si>
    <t>DE METHODE OP WERKBLAD ITE FV RESULTEERT IN</t>
  </si>
  <si>
    <t>LOGARITMISCHE SPREIDING OM EEN LOG-LINEAIRE LIJN</t>
  </si>
  <si>
    <t>LOGARITMISCHE SPREIDING OM DE DUBBEL LOG TRENDLIJN</t>
  </si>
  <si>
    <t>MET e^pq = (e^p)^q KUN JE OOK SCHRIVEN Y = 0,17 + 0,7 * 1,86^X</t>
  </si>
  <si>
    <r>
      <t>Y = 0,17 + 0,7 * e^(0,621*X) = 0,17 + 0,7 * 1,86</t>
    </r>
    <r>
      <rPr>
        <b/>
        <vertAlign val="superscript"/>
        <sz val="11"/>
        <color theme="1"/>
        <rFont val="Calibri"/>
        <family val="2"/>
        <scheme val="minor"/>
      </rPr>
      <t>X</t>
    </r>
  </si>
  <si>
    <r>
      <t xml:space="preserve">Y = 0,6* X </t>
    </r>
    <r>
      <rPr>
        <b/>
        <vertAlign val="superscript"/>
        <sz val="11"/>
        <color theme="1"/>
        <rFont val="Calibri"/>
        <family val="2"/>
        <scheme val="minor"/>
      </rPr>
      <t>2,01</t>
    </r>
    <r>
      <rPr>
        <b/>
        <sz val="11"/>
        <color theme="1"/>
        <rFont val="Calibri"/>
        <family val="2"/>
        <scheme val="minor"/>
      </rPr>
      <t xml:space="preserve"> </t>
    </r>
  </si>
  <si>
    <r>
      <t>Y = b a</t>
    </r>
    <r>
      <rPr>
        <b/>
        <vertAlign val="superscript"/>
        <sz val="11"/>
        <color theme="1"/>
        <rFont val="Calibri"/>
        <family val="2"/>
        <scheme val="minor"/>
      </rPr>
      <t>X</t>
    </r>
  </si>
  <si>
    <t>Laat anomalie even buiten beschouwing</t>
  </si>
  <si>
    <t>Met b = 10^-0,4638 =</t>
  </si>
  <si>
    <t xml:space="preserve">HIER IS DE TRENDLIJN GEBASEERD OP DE MINIMALE </t>
  </si>
  <si>
    <t xml:space="preserve">AAN DE GRAFIEKEN HIERBOVEN EN IN WERKBLAD ITE FV </t>
  </si>
  <si>
    <t>KUN JE GOED ZIEN DAT HET GEEN EXPONENTIEEL VERBAND IS</t>
  </si>
  <si>
    <t>en a = 10^0,3541 =</t>
  </si>
  <si>
    <r>
      <t>Y = b a</t>
    </r>
    <r>
      <rPr>
        <b/>
        <vertAlign val="superscript"/>
        <sz val="11"/>
        <rFont val="Calibri"/>
        <family val="2"/>
        <scheme val="minor"/>
      </rPr>
      <t>X</t>
    </r>
  </si>
  <si>
    <t>HIER IS HET VERSCHIL DUS AANMERKELIJK GROTER</t>
  </si>
  <si>
    <t>WAARSCHUWING:</t>
  </si>
  <si>
    <t>BIJ HET GEBRUIK VAN ANDERE SCHALEN EN TRANSFORMATIES VAN FUNCTIES MOET JE ZEER VOORZICHTIG EN ZORGVULDIG ZIJN</t>
  </si>
  <si>
    <t>HIERVOOR KAN DE TRUC MET DE TRENDLIJN WEL WORDEN GEBRUIKT</t>
  </si>
  <si>
    <t>HET GEBRUIK VAN DE LOGARITMEN MAG ALLEEN BIJ GETALLEN GROTER DAN NUL</t>
  </si>
  <si>
    <r>
      <t>SOMS KAN DAN HANDIG ZIJN DE INVERSEFUNCTIE TE GEBRUIKEN, BV X = (Y)</t>
    </r>
    <r>
      <rPr>
        <b/>
        <vertAlign val="superscript"/>
        <sz val="11"/>
        <color theme="1"/>
        <rFont val="Calibri"/>
        <family val="2"/>
        <scheme val="minor"/>
      </rPr>
      <t>1/b</t>
    </r>
    <r>
      <rPr>
        <b/>
        <sz val="11"/>
        <color theme="1"/>
        <rFont val="Calibri"/>
        <family val="2"/>
        <scheme val="minor"/>
      </rPr>
      <t xml:space="preserve"> I.P.V. Y = X</t>
    </r>
    <r>
      <rPr>
        <b/>
        <vertAlign val="superscript"/>
        <sz val="11"/>
        <color theme="1"/>
        <rFont val="Calibri"/>
        <family val="2"/>
        <scheme val="minor"/>
      </rPr>
      <t xml:space="preserve"> b</t>
    </r>
  </si>
  <si>
    <t>VOORAL DIT EERSTE WERKBLAD EN DE INTELLIGENTE TRIAL &amp; ERROR METHODE OP WERKBLADEN ITE ZIJN VAN BELANG</t>
  </si>
  <si>
    <t>(% betekent gedeeld door 100          0,2 = 20%)</t>
  </si>
  <si>
    <t>BIJ HET BEREKENEN VAN DE PARAMETERS MOET JE DAN e-MACHTEN GEBRUIKEN</t>
  </si>
  <si>
    <r>
      <t>VOOR   Y = a * e</t>
    </r>
    <r>
      <rPr>
        <b/>
        <vertAlign val="superscript"/>
        <sz val="11"/>
        <color theme="1"/>
        <rFont val="Calibri"/>
        <family val="2"/>
        <scheme val="minor"/>
      </rPr>
      <t>bX</t>
    </r>
    <r>
      <rPr>
        <b/>
        <sz val="11"/>
        <color theme="1"/>
        <rFont val="Calibri"/>
        <family val="2"/>
        <scheme val="minor"/>
      </rPr>
      <t xml:space="preserve">   GELDT DAN   ln y =  ln a + bX</t>
    </r>
  </si>
  <si>
    <r>
      <t>DE TRENDLIJN  z = pX + q GEEFT DAN  b = p  EN a = e</t>
    </r>
    <r>
      <rPr>
        <b/>
        <vertAlign val="superscript"/>
        <sz val="11"/>
        <color theme="1"/>
        <rFont val="Calibri"/>
        <family val="2"/>
        <scheme val="minor"/>
      </rPr>
      <t>q</t>
    </r>
  </si>
  <si>
    <t>DAARBIJ GEBRUIK JE DE FUNCTIE  ln  OF  DE RELATIE ln y = log y / log e</t>
  </si>
  <si>
    <t>TEVENS IS ER DAARBIJ VOOR GEKOZEN OM DE FORMULE IN DE GRAFIEK WEER TE GEVEN.</t>
  </si>
  <si>
    <t>OOK BIJ POLYNOMEN MOET JE DE EXCEL OPTIE SNIJPUNT Y-AS NIET GEBRUIKEN   (ZIE TOELICHTING OP WERKBLAD EF)</t>
  </si>
  <si>
    <t>PAS OP ALS JE EEN LOGARITMISCHE SCHAAL GEBRUIKT:</t>
  </si>
  <si>
    <t>DE GRAFIEK MET Y OP LOGARITMISCHE SCHAAL ZIET ER NAMELIJK HETZELFDE UIT, MAAR</t>
  </si>
  <si>
    <t>DE TRENDLIJN DOOR EEN LOG GEEFT DUS EEN IETS ANDER RESULTAAT</t>
  </si>
  <si>
    <t>BIJ EEN LIJN DOOR DE OORSPRONG IS   a = Y / X = 5,5/6,1 = 1,109</t>
  </si>
  <si>
    <t>BIJ DE EXCEL OPTIE SNIJPUNT Y-AS = b WORDT NIET AAN DEZE VOORWAARDEN VOLDAAN</t>
  </si>
  <si>
    <t>DIT IS HOE JE MOET ANALYSEREN, INTERPRETEREN, EVALUEREN EN CONCLUDEREN</t>
  </si>
  <si>
    <t xml:space="preserve">EEN GOEDE KEUS </t>
  </si>
  <si>
    <t>ONDER HELP STAAT ONDER "WAT ALS" ANALYSE HOE JE DE OPLOSSER KUNT TOEVOEGEN</t>
  </si>
  <si>
    <t>DRUK OP DE KNOP LINKS BOVEN, OPTIES, INVOEGTOEPASSINGEN, BEHEREN, START, OPLOSSER</t>
  </si>
  <si>
    <t>VOORBEELD RECHTE LIJN</t>
  </si>
  <si>
    <t>MEETWAARDEN</t>
  </si>
  <si>
    <t>YF</t>
  </si>
  <si>
    <t>YF=Y</t>
  </si>
  <si>
    <t>PROCEDURE:</t>
  </si>
  <si>
    <t>KIES BEGIN WAARDEN a EN b</t>
  </si>
  <si>
    <t>GEGEVENS</t>
  </si>
  <si>
    <t>OPLOSSER</t>
  </si>
  <si>
    <t>DOOR VERANDEREN CEL  SELECTEER RANGE F8:F9</t>
  </si>
  <si>
    <t>CEL BEPALEN  F21</t>
  </si>
  <si>
    <t>(BV a = 1 EN b = 2)</t>
  </si>
  <si>
    <t>FUNCTIE YF IN KOLOM C</t>
  </si>
  <si>
    <t>YF - Y IN KOLOM D</t>
  </si>
  <si>
    <t>MIN</t>
  </si>
  <si>
    <t>OPLOSSEN</t>
  </si>
  <si>
    <t>GEBRUIK VAN EXCEL OPLOSSER</t>
  </si>
  <si>
    <t>DE PARAMETERS KUNNEN OOK WORDEN BEPAALD MET DE EXCEL INVOEGTOEPASSING OPLOSSER</t>
  </si>
  <si>
    <t>RESULTAAT OPLOSSER</t>
  </si>
  <si>
    <t>DUS Y= 0,76 X + 1,93</t>
  </si>
  <si>
    <t>BIJNA 0</t>
  </si>
  <si>
    <t>MINIMAAL DOOR OPLOSSER</t>
  </si>
  <si>
    <t xml:space="preserve">            YF= aX + b</t>
  </si>
  <si>
    <t>ANOMALIE VERWAARLOOST</t>
  </si>
  <si>
    <t>a = 1,00000000466499</t>
  </si>
  <si>
    <t>DUS ALTIJD MEERDERE COMBINATIES UITPROBEREN</t>
  </si>
  <si>
    <t xml:space="preserve">2e POGING MET </t>
  </si>
  <si>
    <t>RESULTAAT 1e POGING</t>
  </si>
  <si>
    <t>BIJ TWEEDE POGING BETER RESULTAAT</t>
  </si>
  <si>
    <t>OP HET WERKBLAD OPL STAAT HOE JE DIT SNELLER EN EENVOUDIGER MET DE EXCEL INVOEGTOEPASSING OPLOSSER KUNT DOEN</t>
  </si>
  <si>
    <t>GEMIDDELDE GAAT ECHTER NIET N AAR NUL</t>
  </si>
  <si>
    <t>a = 1 BLIJKT DUS GEEN GESCHIKTE STARTWAARDE</t>
  </si>
  <si>
    <t>INVULLEN VAN DEZE WAARDEN OP WERKBLAD ITE FV</t>
  </si>
  <si>
    <t>LAAT ZIEN DAT DEZE COMBINATIE INDERDAAD NOG NET WAT BETER IS</t>
  </si>
  <si>
    <t>DEZE METHODE WERKT VOOR ALLE TYPE FUNCTIES</t>
  </si>
  <si>
    <t>DE FUNCTIES EN DE PARAMETERS DIE MOETEN WORDEN BEPAALD MOET JEZELF GOED KIEZEN</t>
  </si>
  <si>
    <t>SOMS MOET JE VERSCHILLENDE FUNCTIES VERGELIJKEN</t>
  </si>
  <si>
    <t>OOK MOET JE SOMS VERSCHILLENDE BEGINWAARDEN UITPROBEREN</t>
  </si>
  <si>
    <t xml:space="preserve">GEBRUIKTE </t>
  </si>
  <si>
    <t>ALS JE PUNTEN TUSSEN IN WEGLAAT</t>
  </si>
  <si>
    <t>MOET JE ER EERST EEN NIEUWE TABEL</t>
  </si>
  <si>
    <t>VAN MAKEN</t>
  </si>
  <si>
    <t>ALS HET GEMIDDELDE VAN DE AFWIJKING (BIJNA) NUL IS EN DE STANDAARDAFWIJKING MINIMAAL,</t>
  </si>
  <si>
    <t>HEB JE TE MAKEN MET EEN MINIMUM KWADRATEN OPLOSSING</t>
  </si>
  <si>
    <t>IN DIT GEVAL MET DE LINEAIRE REGRESSIELIJN</t>
  </si>
  <si>
    <t>HET VERKREGEN RESULTAAT HANGT UITERAARD NOG WEL STEEDS AF VAN DE GEKOZEN FUNCTIE VORM EN PARAMETERS</t>
  </si>
  <si>
    <t>TOELICHTING OVER WAARSCHUWING OM DE EXCEL OPTIE SNIJPUNT Y-AS = B NIET TE GEBRUIKEN</t>
  </si>
  <si>
    <t>ALTIJD MOET JE GOED NADENKEN EN CONTROLEREN OF JE RESULTAAT WEL JUIST IS</t>
  </si>
  <si>
    <t>IN TERMEN VAN REGRESSIE ZIJN ZE WISKUNDIG ECHTER BESLIST ONJUIST</t>
  </si>
  <si>
    <r>
      <t xml:space="preserve">Y = 0,58 * X </t>
    </r>
    <r>
      <rPr>
        <b/>
        <vertAlign val="superscript"/>
        <sz val="11"/>
        <color rgb="FFFF0000"/>
        <rFont val="Calibri"/>
        <family val="2"/>
        <scheme val="minor"/>
      </rPr>
      <t>2,02</t>
    </r>
  </si>
  <si>
    <t>DE BOVENSTAANDE METHODE IS OMVANGRIJK MAAR WEL DUIDELIJK EN INZICHTELIJK</t>
  </si>
  <si>
    <t>KENNELIJK BEREKENT EXCEL DE LINEAIR REGRESSIELIJN MET DE OPLOSSER</t>
  </si>
  <si>
    <t>IS GELIJK AAN DE TRENDLIJN OP WERKBLAD ITE FV</t>
  </si>
  <si>
    <t>ANDERE STARTWAARDEN PROBEREN</t>
  </si>
  <si>
    <t>WAARSCHIJNLIJK BEREKENT EXCEL OOK DEZE LIJN MET BEHULP VAN DE OPLOSSER</t>
  </si>
  <si>
    <t>WAT NU PRECIES DE BETEKENIS IS VAN DEZE LIJN IS HELAAS NIET DUIDELIJK</t>
  </si>
  <si>
    <t>(KAN ALLEEN THUIS OMDAT DEZE OP HET NOORDIK NIET GEINSTALLEERD KAN WORDEN)</t>
  </si>
  <si>
    <t>DIT IS OOK DE FORMULE VORM VOOR DE TRENDLIJN POLYNOOM IN EXCEL</t>
  </si>
  <si>
    <t xml:space="preserve">OP WERKBLADEN ITE, ITE FV EN OPL STAAT HOE DERGELIJKE FUNCTIES VEEL EENVOUDIGER KUNNEN WORDEN BEPAALD </t>
  </si>
  <si>
    <t>Y=aX</t>
  </si>
  <si>
    <t>Xs</t>
  </si>
  <si>
    <t>Ys</t>
  </si>
  <si>
    <t>ONDERZOEKEN OF AFSTAND LOODRECHT OP LIJN WORDT GEMINIMALISSEERD</t>
  </si>
  <si>
    <t>GEMIDDELDE NEEMT AF EN DEVIATIE NEEMT TOE, DUS EXCEL BEREKENT GEEN MINIMUM</t>
  </si>
  <si>
    <t>KIJKEN NAAR GEMIDDELDE EN DEVIATIE VOOR VERSCHILLENDE RICHTINGSCOEFFICIENTEN</t>
  </si>
  <si>
    <t>POGINGEN OM TE ACHTERHALEN WAT EXCEL NU PRECIES BEREKENT BIJ SNIJPUNT Y-AS = B</t>
  </si>
  <si>
    <t>MET NUL MEEGENOMEN</t>
  </si>
  <si>
    <t>DEZE PROCEDURE KAN SOMS WEL  NUTTIG ZIJN</t>
  </si>
  <si>
    <t>(KLIK OP CELLEN VOOR FORMULES)</t>
  </si>
  <si>
    <t>DIT GEEFT NIET HETZELFDE RESULTAAT, DUS KENNELIJK DOET EXCEL HET OOK NIET ZO</t>
  </si>
  <si>
    <t>P</t>
  </si>
  <si>
    <t>a=</t>
  </si>
  <si>
    <t>HELAAS NOG STEEDS NIET DUIDELIJK WAT EN HOE EXCEL DIE LIJNEN DAN BEREKENT</t>
  </si>
  <si>
    <t xml:space="preserve">WAARSCHUWING 1: </t>
  </si>
  <si>
    <t>BIJ EEN REGRESSIE LIJN GEBRUIK JE ALLEEN DE ECHTE MEETWAARDEN</t>
  </si>
  <si>
    <t xml:space="preserve">ALS JE WEET DAT DE LIJN DOOR DE OORSPRONG GAAT WORDT SOMS GEZEGD DAT JE DAN DE OORSPRONG ALS </t>
  </si>
  <si>
    <t>MEETWAARDE MOET OPNEMEN</t>
  </si>
  <si>
    <t>HET IS BETER DIT NIET TE DOEN OMDAT HET EEN SYTEMATISCHE FOUT DAN MINDER ZICHTBAAR KAN WORDEN</t>
  </si>
  <si>
    <t>WAARSCHUWING 3:</t>
  </si>
  <si>
    <t>=GEMIDDELDE(B19:B28)</t>
  </si>
  <si>
    <t>=STDEVP(B19:B28)</t>
  </si>
  <si>
    <t>=GEMIDDELDE(E64:E68)</t>
  </si>
  <si>
    <t>=STDEVP(E64:E68)</t>
  </si>
</sst>
</file>

<file path=xl/styles.xml><?xml version="1.0" encoding="utf-8"?>
<styleSheet xmlns="http://schemas.openxmlformats.org/spreadsheetml/2006/main">
  <numFmts count="4">
    <numFmt numFmtId="164" formatCode="0.00000"/>
    <numFmt numFmtId="165" formatCode="0.0"/>
    <numFmt numFmtId="166" formatCode="0.000"/>
    <numFmt numFmtId="167" formatCode="0.0000"/>
  </numFmts>
  <fonts count="5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4"/>
      <color theme="1"/>
      <name val="Calibri"/>
      <family val="2"/>
    </font>
    <font>
      <b/>
      <u/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sz val="11"/>
      <color rgb="FF000000"/>
      <name val="Arial"/>
      <family val="2"/>
    </font>
    <font>
      <b/>
      <sz val="11"/>
      <color theme="3"/>
      <name val="Calibri"/>
      <family val="2"/>
    </font>
    <font>
      <b/>
      <vertAlign val="subscript"/>
      <sz val="11"/>
      <color theme="3"/>
      <name val="Calibri"/>
      <family val="2"/>
    </font>
    <font>
      <b/>
      <sz val="11"/>
      <color rgb="FFFF0000"/>
      <name val="Calibri"/>
      <family val="2"/>
    </font>
    <font>
      <b/>
      <vertAlign val="subscript"/>
      <sz val="11"/>
      <color rgb="FFFF0000"/>
      <name val="Calibri"/>
      <family val="2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rgb="FFFF0000"/>
      <name val="Calibri"/>
      <family val="2"/>
      <scheme val="minor"/>
    </font>
    <font>
      <b/>
      <vertAlign val="subscript"/>
      <sz val="11"/>
      <color theme="3"/>
      <name val="Calibri"/>
      <family val="2"/>
      <scheme val="minor"/>
    </font>
    <font>
      <sz val="12"/>
      <name val="Arial"/>
      <family val="2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3"/>
      <name val="Calibri"/>
      <family val="2"/>
    </font>
    <font>
      <u/>
      <sz val="11"/>
      <color rgb="FFFF0000"/>
      <name val="Calibri"/>
      <family val="2"/>
    </font>
    <font>
      <b/>
      <u/>
      <sz val="11"/>
      <color theme="3"/>
      <name val="Calibri"/>
      <family val="2"/>
    </font>
    <font>
      <b/>
      <u/>
      <sz val="11"/>
      <color rgb="FFFF0000"/>
      <name val="Calibri"/>
      <family val="2"/>
    </font>
    <font>
      <b/>
      <sz val="11"/>
      <color rgb="FF0070C0"/>
      <name val="Calibri"/>
      <family val="2"/>
      <scheme val="minor"/>
    </font>
    <font>
      <b/>
      <vertAlign val="subscript"/>
      <sz val="11"/>
      <color rgb="FF0070C0"/>
      <name val="Calibri"/>
      <family val="2"/>
      <scheme val="minor"/>
    </font>
    <font>
      <b/>
      <vertAlign val="superscript"/>
      <sz val="11"/>
      <color rgb="FF0070C0"/>
      <name val="Calibri"/>
      <family val="2"/>
      <scheme val="minor"/>
    </font>
    <font>
      <b/>
      <vertAlign val="superscript"/>
      <sz val="11"/>
      <color rgb="FFFF0000"/>
      <name val="Calibri"/>
      <family val="2"/>
      <scheme val="minor"/>
    </font>
    <font>
      <b/>
      <sz val="11"/>
      <color rgb="FF0070C0"/>
      <name val="Calibri"/>
      <family val="2"/>
    </font>
    <font>
      <b/>
      <vertAlign val="subscript"/>
      <sz val="11"/>
      <color rgb="FF0070C0"/>
      <name val="Calibri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i/>
      <sz val="14"/>
      <color rgb="FF000000"/>
      <name val="Arial"/>
      <family val="2"/>
    </font>
    <font>
      <u/>
      <sz val="10"/>
      <color rgb="FFFF0000"/>
      <name val="Arial"/>
      <family val="2"/>
    </font>
    <font>
      <b/>
      <sz val="11"/>
      <color rgb="FFC00000"/>
      <name val="Calibri"/>
      <family val="2"/>
      <scheme val="minor"/>
    </font>
    <font>
      <b/>
      <vertAlign val="super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19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quotePrefix="1" applyFont="1"/>
    <xf numFmtId="0" fontId="4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"/>
    </xf>
    <xf numFmtId="0" fontId="1" fillId="0" borderId="0" xfId="0" quotePrefix="1" applyFont="1" applyAlignment="1">
      <alignment horizontal="left"/>
    </xf>
    <xf numFmtId="0" fontId="9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0" fillId="0" borderId="0" xfId="0" applyFont="1"/>
    <xf numFmtId="0" fontId="5" fillId="0" borderId="0" xfId="0" applyFont="1"/>
    <xf numFmtId="0" fontId="19" fillId="0" borderId="0" xfId="0" applyFont="1"/>
    <xf numFmtId="0" fontId="27" fillId="0" borderId="0" xfId="0" applyFont="1"/>
    <xf numFmtId="0" fontId="0" fillId="0" borderId="2" xfId="0" applyFont="1" applyBorder="1"/>
    <xf numFmtId="0" fontId="0" fillId="0" borderId="5" xfId="0" applyFont="1" applyBorder="1"/>
    <xf numFmtId="0" fontId="0" fillId="0" borderId="7" xfId="0" applyFont="1" applyBorder="1"/>
    <xf numFmtId="0" fontId="28" fillId="0" borderId="0" xfId="0" applyFont="1"/>
    <xf numFmtId="0" fontId="29" fillId="0" borderId="0" xfId="0" applyFont="1"/>
    <xf numFmtId="0" fontId="17" fillId="0" borderId="3" xfId="0" applyFont="1" applyBorder="1"/>
    <xf numFmtId="0" fontId="17" fillId="0" borderId="2" xfId="0" applyFont="1" applyBorder="1"/>
    <xf numFmtId="0" fontId="17" fillId="0" borderId="0" xfId="0" applyFont="1" applyBorder="1"/>
    <xf numFmtId="0" fontId="17" fillId="0" borderId="5" xfId="0" applyFont="1" applyBorder="1"/>
    <xf numFmtId="0" fontId="17" fillId="0" borderId="8" xfId="0" applyFont="1" applyBorder="1"/>
    <xf numFmtId="0" fontId="17" fillId="0" borderId="7" xfId="0" applyFont="1" applyBorder="1"/>
    <xf numFmtId="0" fontId="17" fillId="0" borderId="0" xfId="0" applyFont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3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left"/>
    </xf>
    <xf numFmtId="0" fontId="33" fillId="2" borderId="0" xfId="1" applyFont="1" applyFill="1" applyAlignment="1" applyProtection="1"/>
    <xf numFmtId="0" fontId="34" fillId="3" borderId="0" xfId="1" applyFont="1" applyFill="1" applyAlignment="1" applyProtection="1"/>
    <xf numFmtId="0" fontId="31" fillId="0" borderId="0" xfId="1" applyFont="1" applyFill="1" applyAlignment="1" applyProtection="1"/>
    <xf numFmtId="0" fontId="1" fillId="0" borderId="0" xfId="0" applyFont="1" applyFill="1"/>
    <xf numFmtId="0" fontId="32" fillId="0" borderId="0" xfId="1" applyFont="1" applyFill="1" applyAlignment="1" applyProtection="1"/>
    <xf numFmtId="0" fontId="0" fillId="0" borderId="0" xfId="0" quotePrefix="1"/>
    <xf numFmtId="0" fontId="1" fillId="0" borderId="0" xfId="0" quotePrefix="1" applyFont="1" applyAlignment="1">
      <alignment horizontal="right"/>
    </xf>
    <xf numFmtId="0" fontId="35" fillId="0" borderId="0" xfId="0" applyFont="1" applyAlignment="1">
      <alignment horizontal="center"/>
    </xf>
    <xf numFmtId="0" fontId="35" fillId="0" borderId="0" xfId="0" quotePrefix="1" applyFont="1"/>
    <xf numFmtId="0" fontId="35" fillId="0" borderId="0" xfId="0" applyFont="1"/>
    <xf numFmtId="0" fontId="35" fillId="0" borderId="0" xfId="0" quotePrefix="1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quotePrefix="1" applyFont="1"/>
    <xf numFmtId="0" fontId="10" fillId="0" borderId="0" xfId="0" quotePrefix="1" applyFont="1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3" fillId="0" borderId="0" xfId="1" applyFont="1" applyFill="1" applyAlignment="1" applyProtection="1"/>
    <xf numFmtId="0" fontId="1" fillId="0" borderId="0" xfId="0" applyFont="1" applyFill="1" applyAlignment="1">
      <alignment horizontal="center"/>
    </xf>
    <xf numFmtId="0" fontId="34" fillId="0" borderId="0" xfId="1" applyFont="1" applyFill="1" applyAlignment="1" applyProtection="1"/>
    <xf numFmtId="0" fontId="42" fillId="0" borderId="0" xfId="0" applyFont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2" fontId="42" fillId="0" borderId="0" xfId="0" applyNumberFormat="1" applyFont="1"/>
    <xf numFmtId="2" fontId="42" fillId="0" borderId="0" xfId="0" quotePrefix="1" applyNumberFormat="1" applyFont="1"/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left"/>
    </xf>
    <xf numFmtId="0" fontId="42" fillId="0" borderId="0" xfId="0" applyFont="1" applyAlignment="1">
      <alignment horizontal="left"/>
    </xf>
    <xf numFmtId="0" fontId="1" fillId="0" borderId="0" xfId="0" applyFont="1" applyAlignment="1"/>
    <xf numFmtId="0" fontId="44" fillId="0" borderId="0" xfId="0" applyFont="1"/>
    <xf numFmtId="0" fontId="1" fillId="0" borderId="0" xfId="0" quotePrefix="1" applyFont="1" applyAlignment="1">
      <alignment horizontal="center"/>
    </xf>
    <xf numFmtId="0" fontId="42" fillId="0" borderId="0" xfId="0" applyFont="1" applyAlignment="1">
      <alignment horizontal="center"/>
    </xf>
    <xf numFmtId="0" fontId="42" fillId="0" borderId="0" xfId="0" quotePrefix="1" applyFont="1" applyAlignment="1">
      <alignment horizontal="center"/>
    </xf>
    <xf numFmtId="0" fontId="42" fillId="0" borderId="0" xfId="0" quotePrefix="1" applyFont="1"/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4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2" fontId="42" fillId="0" borderId="0" xfId="0" quotePrefix="1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6" fontId="42" fillId="0" borderId="0" xfId="0" applyNumberFormat="1" applyFont="1" applyAlignment="1">
      <alignment horizontal="center"/>
    </xf>
    <xf numFmtId="0" fontId="41" fillId="0" borderId="0" xfId="0" applyFont="1"/>
    <xf numFmtId="0" fontId="43" fillId="0" borderId="0" xfId="0" applyFont="1"/>
    <xf numFmtId="0" fontId="43" fillId="0" borderId="0" xfId="0" applyFont="1" applyAlignment="1">
      <alignment horizontal="center"/>
    </xf>
    <xf numFmtId="0" fontId="43" fillId="0" borderId="0" xfId="0" applyFont="1" applyAlignment="1">
      <alignment horizontal="left"/>
    </xf>
    <xf numFmtId="165" fontId="43" fillId="0" borderId="0" xfId="0" applyNumberFormat="1" applyFont="1" applyAlignment="1">
      <alignment horizontal="center"/>
    </xf>
    <xf numFmtId="165" fontId="43" fillId="0" borderId="0" xfId="0" applyNumberFormat="1" applyFont="1" applyBorder="1"/>
    <xf numFmtId="0" fontId="46" fillId="0" borderId="0" xfId="0" applyFont="1"/>
    <xf numFmtId="165" fontId="17" fillId="0" borderId="2" xfId="0" applyNumberFormat="1" applyFont="1" applyBorder="1" applyAlignment="1">
      <alignment horizontal="center"/>
    </xf>
    <xf numFmtId="165" fontId="17" fillId="0" borderId="7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quotePrefix="1" applyFont="1" applyAlignment="1">
      <alignment horizontal="center"/>
    </xf>
    <xf numFmtId="165" fontId="17" fillId="0" borderId="0" xfId="0" applyNumberFormat="1" applyFont="1" applyAlignment="1">
      <alignment horizontal="center"/>
    </xf>
    <xf numFmtId="0" fontId="17" fillId="0" borderId="0" xfId="0" quotePrefix="1" applyFont="1"/>
    <xf numFmtId="2" fontId="17" fillId="0" borderId="0" xfId="0" quotePrefix="1" applyNumberFormat="1" applyFont="1" applyAlignment="1">
      <alignment horizontal="center"/>
    </xf>
    <xf numFmtId="2" fontId="17" fillId="0" borderId="0" xfId="0" applyNumberFormat="1" applyFont="1" applyAlignment="1">
      <alignment horizontal="center"/>
    </xf>
    <xf numFmtId="165" fontId="17" fillId="0" borderId="0" xfId="0" applyNumberFormat="1" applyFont="1" applyBorder="1" applyAlignment="1">
      <alignment horizontal="center"/>
    </xf>
    <xf numFmtId="165" fontId="17" fillId="0" borderId="1" xfId="0" applyNumberFormat="1" applyFont="1" applyBorder="1" applyAlignment="1">
      <alignment horizontal="center"/>
    </xf>
    <xf numFmtId="165" fontId="17" fillId="0" borderId="3" xfId="0" applyNumberFormat="1" applyFont="1" applyBorder="1" applyAlignment="1">
      <alignment horizontal="center"/>
    </xf>
    <xf numFmtId="165" fontId="17" fillId="0" borderId="6" xfId="0" applyNumberFormat="1" applyFont="1" applyBorder="1" applyAlignment="1">
      <alignment horizontal="center"/>
    </xf>
    <xf numFmtId="165" fontId="17" fillId="0" borderId="8" xfId="0" applyNumberFormat="1" applyFont="1" applyBorder="1" applyAlignment="1">
      <alignment horizontal="center"/>
    </xf>
    <xf numFmtId="167" fontId="17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167" fontId="17" fillId="0" borderId="3" xfId="0" applyNumberFormat="1" applyFont="1" applyBorder="1" applyAlignment="1">
      <alignment horizontal="center"/>
    </xf>
    <xf numFmtId="167" fontId="17" fillId="0" borderId="2" xfId="0" applyNumberFormat="1" applyFont="1" applyBorder="1" applyAlignment="1">
      <alignment horizontal="center"/>
    </xf>
    <xf numFmtId="167" fontId="17" fillId="0" borderId="4" xfId="0" applyNumberFormat="1" applyFont="1" applyBorder="1" applyAlignment="1">
      <alignment horizontal="center"/>
    </xf>
    <xf numFmtId="167" fontId="17" fillId="0" borderId="5" xfId="0" applyNumberFormat="1" applyFont="1" applyBorder="1" applyAlignment="1">
      <alignment horizontal="center"/>
    </xf>
    <xf numFmtId="167" fontId="17" fillId="0" borderId="6" xfId="0" applyNumberFormat="1" applyFont="1" applyBorder="1" applyAlignment="1">
      <alignment horizontal="center"/>
    </xf>
    <xf numFmtId="167" fontId="17" fillId="0" borderId="8" xfId="0" applyNumberFormat="1" applyFont="1" applyBorder="1" applyAlignment="1">
      <alignment horizontal="center"/>
    </xf>
    <xf numFmtId="167" fontId="17" fillId="0" borderId="7" xfId="0" applyNumberFormat="1" applyFont="1" applyBorder="1" applyAlignment="1">
      <alignment horizontal="center"/>
    </xf>
    <xf numFmtId="166" fontId="17" fillId="0" borderId="0" xfId="0" applyNumberFormat="1" applyFont="1"/>
    <xf numFmtId="166" fontId="43" fillId="0" borderId="0" xfId="0" applyNumberFormat="1" applyFont="1"/>
    <xf numFmtId="0" fontId="43" fillId="0" borderId="0" xfId="0" applyFont="1" applyBorder="1" applyAlignment="1">
      <alignment horizontal="left"/>
    </xf>
    <xf numFmtId="166" fontId="1" fillId="0" borderId="0" xfId="0" applyNumberFormat="1" applyFont="1" applyBorder="1"/>
    <xf numFmtId="0" fontId="1" fillId="0" borderId="0" xfId="0" applyFont="1" applyBorder="1"/>
    <xf numFmtId="165" fontId="43" fillId="0" borderId="0" xfId="0" applyNumberFormat="1" applyFont="1"/>
    <xf numFmtId="0" fontId="43" fillId="0" borderId="0" xfId="0" applyFont="1" applyBorder="1"/>
    <xf numFmtId="167" fontId="43" fillId="0" borderId="0" xfId="0" applyNumberFormat="1" applyFont="1"/>
    <xf numFmtId="164" fontId="43" fillId="0" borderId="0" xfId="0" applyNumberFormat="1" applyFont="1" applyBorder="1"/>
    <xf numFmtId="0" fontId="43" fillId="0" borderId="0" xfId="0" quotePrefix="1" applyFont="1"/>
    <xf numFmtId="0" fontId="47" fillId="0" borderId="0" xfId="0" applyFont="1"/>
    <xf numFmtId="0" fontId="48" fillId="0" borderId="0" xfId="0" applyFont="1"/>
    <xf numFmtId="0" fontId="17" fillId="0" borderId="0" xfId="0" applyFont="1" applyAlignment="1">
      <alignment horizontal="left" wrapText="1"/>
    </xf>
    <xf numFmtId="167" fontId="17" fillId="0" borderId="0" xfId="0" quotePrefix="1" applyNumberFormat="1" applyFont="1" applyBorder="1" applyAlignment="1">
      <alignment horizontal="center"/>
    </xf>
    <xf numFmtId="167" fontId="17" fillId="0" borderId="0" xfId="0" quotePrefix="1" applyNumberFormat="1" applyFont="1" applyBorder="1" applyAlignment="1">
      <alignment horizontal="left"/>
    </xf>
    <xf numFmtId="165" fontId="17" fillId="0" borderId="0" xfId="0" quotePrefix="1" applyNumberFormat="1" applyFont="1" applyBorder="1" applyAlignment="1">
      <alignment horizontal="center"/>
    </xf>
    <xf numFmtId="165" fontId="17" fillId="0" borderId="0" xfId="0" quotePrefix="1" applyNumberFormat="1" applyFont="1" applyBorder="1" applyAlignment="1">
      <alignment horizontal="left"/>
    </xf>
    <xf numFmtId="0" fontId="0" fillId="0" borderId="0" xfId="0" applyAlignment="1">
      <alignment horizontal="left" indent="2"/>
    </xf>
    <xf numFmtId="0" fontId="30" fillId="0" borderId="0" xfId="1" applyAlignment="1" applyProtection="1">
      <alignment horizontal="left" indent="2"/>
    </xf>
    <xf numFmtId="0" fontId="30" fillId="0" borderId="0" xfId="1" applyAlignment="1" applyProtection="1"/>
    <xf numFmtId="0" fontId="31" fillId="2" borderId="0" xfId="1" applyFont="1" applyFill="1" applyAlignment="1" applyProtection="1"/>
    <xf numFmtId="0" fontId="32" fillId="3" borderId="0" xfId="1" applyFont="1" applyFill="1" applyAlignment="1" applyProtection="1"/>
    <xf numFmtId="0" fontId="0" fillId="0" borderId="0" xfId="0" applyFill="1"/>
    <xf numFmtId="0" fontId="30" fillId="0" borderId="0" xfId="1" applyFill="1" applyAlignment="1" applyProtection="1"/>
    <xf numFmtId="0" fontId="50" fillId="0" borderId="0" xfId="0" applyFont="1"/>
    <xf numFmtId="0" fontId="35" fillId="0" borderId="13" xfId="0" applyFont="1" applyBorder="1"/>
    <xf numFmtId="0" fontId="0" fillId="0" borderId="14" xfId="0" applyBorder="1"/>
    <xf numFmtId="0" fontId="0" fillId="0" borderId="15" xfId="0" applyBorder="1"/>
    <xf numFmtId="0" fontId="1" fillId="0" borderId="16" xfId="0" applyFont="1" applyBorder="1"/>
    <xf numFmtId="0" fontId="0" fillId="0" borderId="0" xfId="0" applyBorder="1"/>
    <xf numFmtId="0" fontId="0" fillId="0" borderId="17" xfId="0" applyBorder="1"/>
    <xf numFmtId="0" fontId="35" fillId="0" borderId="18" xfId="0" applyFont="1" applyBorder="1"/>
    <xf numFmtId="0" fontId="0" fillId="0" borderId="19" xfId="0" applyBorder="1"/>
    <xf numFmtId="0" fontId="0" fillId="0" borderId="20" xfId="0" applyBorder="1"/>
    <xf numFmtId="0" fontId="10" fillId="0" borderId="13" xfId="0" applyFont="1" applyBorder="1"/>
    <xf numFmtId="0" fontId="41" fillId="0" borderId="14" xfId="0" applyFont="1" applyBorder="1"/>
    <xf numFmtId="0" fontId="41" fillId="0" borderId="15" xfId="0" applyFont="1" applyBorder="1"/>
    <xf numFmtId="0" fontId="10" fillId="0" borderId="16" xfId="0" applyFont="1" applyBorder="1"/>
    <xf numFmtId="0" fontId="41" fillId="0" borderId="0" xfId="0" applyFont="1" applyBorder="1"/>
    <xf numFmtId="0" fontId="41" fillId="0" borderId="17" xfId="0" applyFont="1" applyBorder="1"/>
    <xf numFmtId="0" fontId="10" fillId="0" borderId="18" xfId="0" applyFont="1" applyBorder="1"/>
    <xf numFmtId="0" fontId="41" fillId="0" borderId="19" xfId="0" applyFont="1" applyBorder="1"/>
    <xf numFmtId="0" fontId="41" fillId="0" borderId="20" xfId="0" applyFont="1" applyBorder="1"/>
    <xf numFmtId="0" fontId="1" fillId="0" borderId="1" xfId="0" applyFont="1" applyBorder="1"/>
    <xf numFmtId="0" fontId="0" fillId="0" borderId="3" xfId="0" applyBorder="1"/>
    <xf numFmtId="0" fontId="0" fillId="0" borderId="2" xfId="0" applyBorder="1"/>
    <xf numFmtId="0" fontId="1" fillId="0" borderId="4" xfId="0" applyFont="1" applyBorder="1"/>
    <xf numFmtId="0" fontId="0" fillId="0" borderId="5" xfId="0" applyBorder="1"/>
    <xf numFmtId="0" fontId="51" fillId="0" borderId="0" xfId="0" applyFont="1"/>
    <xf numFmtId="0" fontId="52" fillId="3" borderId="0" xfId="1" applyFont="1" applyFill="1" applyAlignment="1" applyProtection="1"/>
    <xf numFmtId="0" fontId="49" fillId="0" borderId="0" xfId="0" applyFont="1"/>
    <xf numFmtId="0" fontId="1" fillId="0" borderId="0" xfId="0" applyFont="1" applyAlignment="1">
      <alignment horizontal="left"/>
    </xf>
    <xf numFmtId="0" fontId="1" fillId="0" borderId="21" xfId="0" applyFont="1" applyBorder="1"/>
    <xf numFmtId="0" fontId="0" fillId="0" borderId="22" xfId="0" applyBorder="1"/>
    <xf numFmtId="0" fontId="0" fillId="0" borderId="23" xfId="0" applyBorder="1"/>
    <xf numFmtId="0" fontId="1" fillId="0" borderId="0" xfId="0" quotePrefix="1" applyFont="1" applyAlignment="1">
      <alignment horizontal="left"/>
    </xf>
    <xf numFmtId="0" fontId="9" fillId="0" borderId="9" xfId="0" applyFont="1" applyBorder="1" applyAlignment="1">
      <alignment horizontal="center"/>
    </xf>
    <xf numFmtId="0" fontId="53" fillId="0" borderId="0" xfId="0" quotePrefix="1" applyFont="1"/>
    <xf numFmtId="0" fontId="53" fillId="0" borderId="0" xfId="0" applyFont="1"/>
    <xf numFmtId="0" fontId="9" fillId="0" borderId="0" xfId="0" quotePrefix="1" applyFont="1"/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165" fontId="0" fillId="0" borderId="0" xfId="0" applyNumberFormat="1"/>
    <xf numFmtId="165" fontId="1" fillId="0" borderId="0" xfId="0" applyNumberFormat="1" applyFont="1"/>
    <xf numFmtId="0" fontId="1" fillId="0" borderId="0" xfId="0" applyFont="1" applyAlignment="1">
      <alignment horizontal="left" indent="2"/>
    </xf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left"/>
    </xf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</cellXfs>
  <cellStyles count="2">
    <cellStyle name="Hyperlink" xfId="1" builtinId="8"/>
    <cellStyle name="Standaard" xfId="0" builtinId="0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en-US"/>
              <a:t>y(x) = ax</a:t>
            </a:r>
            <a:r>
              <a:rPr lang="en-US" baseline="30000"/>
              <a:t>2</a:t>
            </a:r>
            <a:r>
              <a:rPr lang="en-US" baseline="0"/>
              <a:t> + bx + c</a:t>
            </a:r>
            <a:endParaRPr lang="en-US"/>
          </a:p>
        </c:rich>
      </c:tx>
    </c:title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FVP!$AE$5:$AE$52</c:f>
              <c:numCache>
                <c:formatCode>General</c:formatCode>
                <c:ptCount val="48"/>
                <c:pt idx="0">
                  <c:v>-20</c:v>
                </c:pt>
                <c:pt idx="1">
                  <c:v>-19</c:v>
                </c:pt>
                <c:pt idx="2">
                  <c:v>-18</c:v>
                </c:pt>
                <c:pt idx="3">
                  <c:v>-17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-10</c:v>
                </c:pt>
                <c:pt idx="11">
                  <c:v>-9</c:v>
                </c:pt>
                <c:pt idx="12">
                  <c:v>-8</c:v>
                </c:pt>
                <c:pt idx="13">
                  <c:v>-7</c:v>
                </c:pt>
                <c:pt idx="14">
                  <c:v>-6</c:v>
                </c:pt>
                <c:pt idx="15">
                  <c:v>-5</c:v>
                </c:pt>
                <c:pt idx="16">
                  <c:v>-4</c:v>
                </c:pt>
                <c:pt idx="17">
                  <c:v>-3</c:v>
                </c:pt>
                <c:pt idx="18">
                  <c:v>-2</c:v>
                </c:pt>
                <c:pt idx="19">
                  <c:v>-1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</c:numCache>
            </c:numRef>
          </c:xVal>
          <c:yVal>
            <c:numRef>
              <c:f>FVP!$AF$5:$AF$52</c:f>
              <c:numCache>
                <c:formatCode>General</c:formatCode>
                <c:ptCount val="48"/>
                <c:pt idx="0">
                  <c:v>492</c:v>
                </c:pt>
                <c:pt idx="1">
                  <c:v>431</c:v>
                </c:pt>
                <c:pt idx="2">
                  <c:v>374</c:v>
                </c:pt>
                <c:pt idx="3">
                  <c:v>321</c:v>
                </c:pt>
                <c:pt idx="4">
                  <c:v>272</c:v>
                </c:pt>
                <c:pt idx="5">
                  <c:v>227</c:v>
                </c:pt>
                <c:pt idx="6">
                  <c:v>186</c:v>
                </c:pt>
                <c:pt idx="7">
                  <c:v>149</c:v>
                </c:pt>
                <c:pt idx="8">
                  <c:v>116</c:v>
                </c:pt>
                <c:pt idx="9">
                  <c:v>87</c:v>
                </c:pt>
                <c:pt idx="10">
                  <c:v>62</c:v>
                </c:pt>
                <c:pt idx="11">
                  <c:v>41</c:v>
                </c:pt>
                <c:pt idx="12">
                  <c:v>24</c:v>
                </c:pt>
                <c:pt idx="13">
                  <c:v>11</c:v>
                </c:pt>
                <c:pt idx="14">
                  <c:v>2</c:v>
                </c:pt>
                <c:pt idx="15">
                  <c:v>-3</c:v>
                </c:pt>
                <c:pt idx="16">
                  <c:v>-4</c:v>
                </c:pt>
                <c:pt idx="17">
                  <c:v>-1</c:v>
                </c:pt>
                <c:pt idx="18">
                  <c:v>6</c:v>
                </c:pt>
                <c:pt idx="19">
                  <c:v>17</c:v>
                </c:pt>
                <c:pt idx="20">
                  <c:v>32</c:v>
                </c:pt>
                <c:pt idx="21">
                  <c:v>51</c:v>
                </c:pt>
                <c:pt idx="22">
                  <c:v>74</c:v>
                </c:pt>
                <c:pt idx="23">
                  <c:v>101</c:v>
                </c:pt>
                <c:pt idx="24">
                  <c:v>132</c:v>
                </c:pt>
                <c:pt idx="25">
                  <c:v>167</c:v>
                </c:pt>
                <c:pt idx="26">
                  <c:v>206</c:v>
                </c:pt>
                <c:pt idx="27">
                  <c:v>249</c:v>
                </c:pt>
                <c:pt idx="28">
                  <c:v>296</c:v>
                </c:pt>
                <c:pt idx="35">
                  <c:v>347</c:v>
                </c:pt>
                <c:pt idx="36">
                  <c:v>402</c:v>
                </c:pt>
                <c:pt idx="37">
                  <c:v>461</c:v>
                </c:pt>
                <c:pt idx="38">
                  <c:v>524</c:v>
                </c:pt>
                <c:pt idx="39">
                  <c:v>591</c:v>
                </c:pt>
                <c:pt idx="40">
                  <c:v>662</c:v>
                </c:pt>
                <c:pt idx="41">
                  <c:v>737</c:v>
                </c:pt>
                <c:pt idx="42">
                  <c:v>816</c:v>
                </c:pt>
                <c:pt idx="43">
                  <c:v>899</c:v>
                </c:pt>
                <c:pt idx="44">
                  <c:v>986</c:v>
                </c:pt>
                <c:pt idx="45">
                  <c:v>1077</c:v>
                </c:pt>
                <c:pt idx="46">
                  <c:v>1172</c:v>
                </c:pt>
                <c:pt idx="47">
                  <c:v>1271</c:v>
                </c:pt>
              </c:numCache>
            </c:numRef>
          </c:yVal>
          <c:smooth val="1"/>
        </c:ser>
        <c:ser>
          <c:idx val="1"/>
          <c:order val="1"/>
          <c:marker>
            <c:symbol val="square"/>
            <c:size val="7"/>
          </c:marker>
          <c:dPt>
            <c:idx val="20"/>
            <c:marker>
              <c:symbol val="none"/>
            </c:marker>
          </c:dPt>
          <c:dPt>
            <c:idx val="22"/>
            <c:marker>
              <c:symbol val="none"/>
            </c:marker>
          </c:dPt>
          <c:dPt>
            <c:idx val="23"/>
            <c:marker>
              <c:symbol val="none"/>
            </c:marker>
          </c:dPt>
          <c:dPt>
            <c:idx val="25"/>
            <c:marker>
              <c:symbol val="none"/>
            </c:marker>
          </c:dPt>
          <c:dPt>
            <c:idx val="26"/>
            <c:marker>
              <c:symbol val="none"/>
            </c:marker>
          </c:dPt>
          <c:dPt>
            <c:idx val="27"/>
            <c:marker>
              <c:symbol val="none"/>
            </c:marker>
          </c:dPt>
          <c:dPt>
            <c:idx val="29"/>
            <c:marker>
              <c:symbol val="none"/>
            </c:marker>
          </c:dPt>
          <c:dPt>
            <c:idx val="31"/>
            <c:marker>
              <c:symbol val="none"/>
            </c:marker>
          </c:dPt>
          <c:dPt>
            <c:idx val="32"/>
            <c:marker>
              <c:symbol val="none"/>
            </c:marker>
          </c:dPt>
          <c:dPt>
            <c:idx val="34"/>
            <c:marker>
              <c:symbol val="none"/>
            </c:marker>
          </c:dPt>
          <c:dPt>
            <c:idx val="35"/>
            <c:marker>
              <c:symbol val="none"/>
            </c:marker>
          </c:dPt>
          <c:dPt>
            <c:idx val="36"/>
            <c:marker>
              <c:symbol val="none"/>
            </c:marker>
          </c:dPt>
          <c:trendline>
            <c:trendlineType val="poly"/>
            <c:order val="2"/>
            <c:dispEq val="1"/>
            <c:trendlineLbl>
              <c:layout>
                <c:manualLayout>
                  <c:x val="-0.19331933508311491"/>
                  <c:y val="-0.2007637066200058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/>
                  </a:pPr>
                  <a:endParaRPr lang="nl-NL"/>
                </a:p>
              </c:txPr>
            </c:trendlineLbl>
          </c:trendline>
          <c:xVal>
            <c:numRef>
              <c:f>FVP!$AE$5:$AE$52</c:f>
              <c:numCache>
                <c:formatCode>General</c:formatCode>
                <c:ptCount val="48"/>
                <c:pt idx="0">
                  <c:v>-20</c:v>
                </c:pt>
                <c:pt idx="1">
                  <c:v>-19</c:v>
                </c:pt>
                <c:pt idx="2">
                  <c:v>-18</c:v>
                </c:pt>
                <c:pt idx="3">
                  <c:v>-17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-10</c:v>
                </c:pt>
                <c:pt idx="11">
                  <c:v>-9</c:v>
                </c:pt>
                <c:pt idx="12">
                  <c:v>-8</c:v>
                </c:pt>
                <c:pt idx="13">
                  <c:v>-7</c:v>
                </c:pt>
                <c:pt idx="14">
                  <c:v>-6</c:v>
                </c:pt>
                <c:pt idx="15">
                  <c:v>-5</c:v>
                </c:pt>
                <c:pt idx="16">
                  <c:v>-4</c:v>
                </c:pt>
                <c:pt idx="17">
                  <c:v>-3</c:v>
                </c:pt>
                <c:pt idx="18">
                  <c:v>-2</c:v>
                </c:pt>
                <c:pt idx="19">
                  <c:v>-1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</c:numCache>
            </c:numRef>
          </c:xVal>
          <c:yVal>
            <c:numRef>
              <c:f>FVP!$AG$5:$AG$52</c:f>
              <c:numCache>
                <c:formatCode>General</c:formatCode>
                <c:ptCount val="48"/>
                <c:pt idx="0">
                  <c:v>-2195</c:v>
                </c:pt>
                <c:pt idx="1">
                  <c:v>-2009</c:v>
                </c:pt>
                <c:pt idx="2">
                  <c:v>-1831</c:v>
                </c:pt>
                <c:pt idx="3">
                  <c:v>-1661</c:v>
                </c:pt>
                <c:pt idx="4">
                  <c:v>-1499</c:v>
                </c:pt>
                <c:pt idx="5">
                  <c:v>-1345</c:v>
                </c:pt>
                <c:pt idx="6">
                  <c:v>-1199</c:v>
                </c:pt>
                <c:pt idx="7">
                  <c:v>-1061</c:v>
                </c:pt>
                <c:pt idx="8">
                  <c:v>-931</c:v>
                </c:pt>
                <c:pt idx="9">
                  <c:v>-809</c:v>
                </c:pt>
                <c:pt idx="10">
                  <c:v>-695</c:v>
                </c:pt>
                <c:pt idx="11">
                  <c:v>-589</c:v>
                </c:pt>
                <c:pt idx="12">
                  <c:v>-491</c:v>
                </c:pt>
                <c:pt idx="13">
                  <c:v>-401</c:v>
                </c:pt>
                <c:pt idx="14">
                  <c:v>-319</c:v>
                </c:pt>
                <c:pt idx="15">
                  <c:v>-245</c:v>
                </c:pt>
                <c:pt idx="16">
                  <c:v>-179</c:v>
                </c:pt>
                <c:pt idx="17">
                  <c:v>-121</c:v>
                </c:pt>
                <c:pt idx="18">
                  <c:v>-71</c:v>
                </c:pt>
                <c:pt idx="19">
                  <c:v>-29</c:v>
                </c:pt>
                <c:pt idx="20">
                  <c:v>5</c:v>
                </c:pt>
                <c:pt idx="21">
                  <c:v>31</c:v>
                </c:pt>
                <c:pt idx="22">
                  <c:v>49</c:v>
                </c:pt>
                <c:pt idx="23">
                  <c:v>59</c:v>
                </c:pt>
                <c:pt idx="24">
                  <c:v>61</c:v>
                </c:pt>
                <c:pt idx="25">
                  <c:v>55</c:v>
                </c:pt>
                <c:pt idx="26">
                  <c:v>41</c:v>
                </c:pt>
                <c:pt idx="27">
                  <c:v>19</c:v>
                </c:pt>
                <c:pt idx="28">
                  <c:v>-11</c:v>
                </c:pt>
                <c:pt idx="35">
                  <c:v>-49</c:v>
                </c:pt>
                <c:pt idx="36">
                  <c:v>-95</c:v>
                </c:pt>
                <c:pt idx="37">
                  <c:v>-149</c:v>
                </c:pt>
                <c:pt idx="38">
                  <c:v>-211</c:v>
                </c:pt>
                <c:pt idx="39">
                  <c:v>-281</c:v>
                </c:pt>
                <c:pt idx="40">
                  <c:v>-359</c:v>
                </c:pt>
                <c:pt idx="41">
                  <c:v>-445</c:v>
                </c:pt>
                <c:pt idx="42">
                  <c:v>-539</c:v>
                </c:pt>
                <c:pt idx="43">
                  <c:v>-641</c:v>
                </c:pt>
                <c:pt idx="44">
                  <c:v>-751</c:v>
                </c:pt>
                <c:pt idx="45">
                  <c:v>-869</c:v>
                </c:pt>
                <c:pt idx="46">
                  <c:v>-995</c:v>
                </c:pt>
                <c:pt idx="47">
                  <c:v>-1129</c:v>
                </c:pt>
              </c:numCache>
            </c:numRef>
          </c:yVal>
          <c:smooth val="1"/>
        </c:ser>
        <c:axId val="134272512"/>
        <c:axId val="134274432"/>
      </c:scatterChart>
      <c:valAx>
        <c:axId val="134272512"/>
        <c:scaling>
          <c:orientation val="minMax"/>
          <c:max val="10"/>
          <c:min val="-10"/>
        </c:scaling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nl-NL" sz="1100"/>
                  <a:t>X</a:t>
                </a:r>
              </a:p>
            </c:rich>
          </c:tx>
          <c:layout>
            <c:manualLayout>
              <c:xMode val="edge"/>
              <c:yMode val="edge"/>
              <c:x val="0.91632283464566933"/>
              <c:y val="0.73516185476815465"/>
            </c:manualLayout>
          </c:layout>
        </c:title>
        <c:numFmt formatCode="General" sourceLinked="1"/>
        <c:tickLblPos val="nextTo"/>
        <c:crossAx val="134274432"/>
        <c:crosses val="autoZero"/>
        <c:crossBetween val="midCat"/>
      </c:valAx>
      <c:valAx>
        <c:axId val="134274432"/>
        <c:scaling>
          <c:orientation val="minMax"/>
          <c:max val="80"/>
          <c:min val="-2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nl-NL" sz="1200"/>
                  <a:t>Y</a:t>
                </a:r>
              </a:p>
            </c:rich>
          </c:tx>
          <c:layout>
            <c:manualLayout>
              <c:xMode val="edge"/>
              <c:yMode val="edge"/>
              <c:x val="0.49166666666666942"/>
              <c:y val="0.19138305628463087"/>
            </c:manualLayout>
          </c:layout>
        </c:title>
        <c:numFmt formatCode="General" sourceLinked="1"/>
        <c:tickLblPos val="nextTo"/>
        <c:crossAx val="134272512"/>
        <c:crosses val="autoZero"/>
        <c:crossBetween val="midCat"/>
      </c:valAx>
    </c:plotArea>
    <c:plotVisOnly val="1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LM!$B$64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2"/>
          </c:trendline>
          <c:trendline>
            <c:trendlineType val="poly"/>
            <c:order val="2"/>
            <c:dispEq val="1"/>
            <c:trendlineLbl>
              <c:layout>
                <c:manualLayout>
                  <c:x val="-0.390236220472442"/>
                  <c:y val="0.1255680926482127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/>
                  </a:pPr>
                  <a:endParaRPr lang="nl-NL"/>
                </a:p>
              </c:txPr>
            </c:trendlineLbl>
          </c:trendline>
          <c:xVal>
            <c:numRef>
              <c:f>LM!$A$65:$A$70</c:f>
              <c:numCache>
                <c:formatCode>General</c:formatCode>
                <c:ptCount val="6"/>
                <c:pt idx="0">
                  <c:v>-16</c:v>
                </c:pt>
                <c:pt idx="1">
                  <c:v>-14</c:v>
                </c:pt>
                <c:pt idx="2">
                  <c:v>-6</c:v>
                </c:pt>
                <c:pt idx="3">
                  <c:v>4</c:v>
                </c:pt>
                <c:pt idx="4">
                  <c:v>10</c:v>
                </c:pt>
                <c:pt idx="5">
                  <c:v>12</c:v>
                </c:pt>
              </c:numCache>
            </c:numRef>
          </c:xVal>
          <c:yVal>
            <c:numRef>
              <c:f>LM!$B$65:$B$70</c:f>
              <c:numCache>
                <c:formatCode>General</c:formatCode>
                <c:ptCount val="6"/>
                <c:pt idx="0">
                  <c:v>70</c:v>
                </c:pt>
                <c:pt idx="1">
                  <c:v>30</c:v>
                </c:pt>
                <c:pt idx="2">
                  <c:v>-5</c:v>
                </c:pt>
                <c:pt idx="3">
                  <c:v>19</c:v>
                </c:pt>
                <c:pt idx="4">
                  <c:v>75</c:v>
                </c:pt>
                <c:pt idx="5">
                  <c:v>127</c:v>
                </c:pt>
              </c:numCache>
            </c:numRef>
          </c:yVal>
        </c:ser>
        <c:ser>
          <c:idx val="1"/>
          <c:order val="1"/>
          <c:tx>
            <c:strRef>
              <c:f>LM!$C$64</c:f>
              <c:strCache>
                <c:ptCount val="1"/>
                <c:pt idx="0">
                  <c:v>y min kwad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</c:marker>
          <c:trendline>
            <c:spPr>
              <a:ln w="22225">
                <a:solidFill>
                  <a:srgbClr val="FF0000"/>
                </a:solidFill>
              </a:ln>
            </c:spPr>
            <c:trendlineType val="poly"/>
            <c:order val="2"/>
          </c:trendline>
          <c:xVal>
            <c:numRef>
              <c:f>LM!$A$65:$A$70</c:f>
              <c:numCache>
                <c:formatCode>General</c:formatCode>
                <c:ptCount val="6"/>
                <c:pt idx="0">
                  <c:v>-16</c:v>
                </c:pt>
                <c:pt idx="1">
                  <c:v>-14</c:v>
                </c:pt>
                <c:pt idx="2">
                  <c:v>-6</c:v>
                </c:pt>
                <c:pt idx="3">
                  <c:v>4</c:v>
                </c:pt>
                <c:pt idx="4">
                  <c:v>10</c:v>
                </c:pt>
                <c:pt idx="5">
                  <c:v>12</c:v>
                </c:pt>
              </c:numCache>
            </c:numRef>
          </c:xVal>
          <c:yVal>
            <c:numRef>
              <c:f>LM!$C$65:$C$70</c:f>
              <c:numCache>
                <c:formatCode>0.0</c:formatCode>
                <c:ptCount val="6"/>
                <c:pt idx="0">
                  <c:v>63.600949029766014</c:v>
                </c:pt>
                <c:pt idx="1">
                  <c:v>40.30232940196602</c:v>
                </c:pt>
                <c:pt idx="2">
                  <c:v>-11.095945992412364</c:v>
                </c:pt>
                <c:pt idx="3">
                  <c:v>18.697666777463191</c:v>
                </c:pt>
                <c:pt idx="4">
                  <c:v>86.729278179574408</c:v>
                </c:pt>
                <c:pt idx="5">
                  <c:v>117.76572260364247</c:v>
                </c:pt>
              </c:numCache>
            </c:numRef>
          </c:yVal>
        </c:ser>
        <c:axId val="139651328"/>
        <c:axId val="139665408"/>
      </c:scatterChart>
      <c:valAx>
        <c:axId val="139651328"/>
        <c:scaling>
          <c:orientation val="minMax"/>
        </c:scaling>
        <c:axPos val="b"/>
        <c:numFmt formatCode="General" sourceLinked="1"/>
        <c:tickLblPos val="nextTo"/>
        <c:crossAx val="139665408"/>
        <c:crosses val="autoZero"/>
        <c:crossBetween val="midCat"/>
      </c:valAx>
      <c:valAx>
        <c:axId val="139665408"/>
        <c:scaling>
          <c:orientation val="minMax"/>
        </c:scaling>
        <c:axPos val="l"/>
        <c:majorGridlines/>
        <c:numFmt formatCode="General" sourceLinked="1"/>
        <c:tickLblPos val="nextTo"/>
        <c:crossAx val="139651328"/>
        <c:crosses val="autoZero"/>
        <c:crossBetween val="midCat"/>
      </c:valAx>
    </c:plotArea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LM!$B$31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trendline>
            <c:spPr>
              <a:ln w="19050"/>
            </c:spPr>
            <c:trendlineType val="linear"/>
            <c:dispEq val="1"/>
            <c:trendlineLbl>
              <c:layout>
                <c:manualLayout>
                  <c:x val="0.27317958036310552"/>
                  <c:y val="0.1405209403172429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/>
                  </a:pPr>
                  <a:endParaRPr lang="nl-NL"/>
                </a:p>
              </c:txPr>
            </c:trendlineLbl>
          </c:trendline>
          <c:xVal>
            <c:numRef>
              <c:f>LM!$A$32:$A$37</c:f>
              <c:numCache>
                <c:formatCode>General</c:formatCode>
                <c:ptCount val="6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  <c:pt idx="5">
                  <c:v>5</c:v>
                </c:pt>
              </c:numCache>
            </c:numRef>
          </c:xVal>
          <c:yVal>
            <c:numRef>
              <c:f>LM!$B$32:$B$37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7</c:v>
                </c:pt>
                <c:pt idx="5">
                  <c:v>6</c:v>
                </c:pt>
              </c:numCache>
            </c:numRef>
          </c:yVal>
        </c:ser>
        <c:axId val="139747712"/>
        <c:axId val="139749248"/>
      </c:scatterChart>
      <c:valAx>
        <c:axId val="139747712"/>
        <c:scaling>
          <c:orientation val="minMax"/>
        </c:scaling>
        <c:axPos val="b"/>
        <c:numFmt formatCode="General" sourceLinked="1"/>
        <c:tickLblPos val="nextTo"/>
        <c:crossAx val="139749248"/>
        <c:crosses val="autoZero"/>
        <c:crossBetween val="midCat"/>
      </c:valAx>
      <c:valAx>
        <c:axId val="139749248"/>
        <c:scaling>
          <c:orientation val="minMax"/>
        </c:scaling>
        <c:axPos val="l"/>
        <c:majorGridlines/>
        <c:numFmt formatCode="General" sourceLinked="1"/>
        <c:tickLblPos val="nextTo"/>
        <c:crossAx val="13974771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FORMULES VERSUS Y</a:t>
            </a:r>
          </a:p>
        </c:rich>
      </c:tx>
      <c:layout>
        <c:manualLayout>
          <c:xMode val="edge"/>
          <c:yMode val="edge"/>
          <c:x val="0.29244912687140034"/>
          <c:y val="3.42677165354330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504833752664344"/>
          <c:y val="0.11189637406435304"/>
          <c:w val="0.65594906798655073"/>
          <c:h val="0.68561388159813363"/>
        </c:manualLayout>
      </c:layout>
      <c:scatterChart>
        <c:scatterStyle val="smoothMarker"/>
        <c:ser>
          <c:idx val="1"/>
          <c:order val="0"/>
          <c:tx>
            <c:strRef>
              <c:f>ITE!$C$39</c:f>
              <c:strCache>
                <c:ptCount val="1"/>
                <c:pt idx="0">
                  <c:v>=0,5*X^2,1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ITE!$B$40:$B$45</c:f>
              <c:numCache>
                <c:formatCode>General</c:formatCode>
                <c:ptCount val="6"/>
                <c:pt idx="0">
                  <c:v>1</c:v>
                </c:pt>
                <c:pt idx="1">
                  <c:v>0.5</c:v>
                </c:pt>
                <c:pt idx="2">
                  <c:v>2.5</c:v>
                </c:pt>
                <c:pt idx="3">
                  <c:v>5.5</c:v>
                </c:pt>
                <c:pt idx="4">
                  <c:v>9.4</c:v>
                </c:pt>
                <c:pt idx="5">
                  <c:v>15.2</c:v>
                </c:pt>
              </c:numCache>
            </c:numRef>
          </c:xVal>
          <c:yVal>
            <c:numRef>
              <c:f>ITE!$C$40:$C$45</c:f>
              <c:numCache>
                <c:formatCode>0.00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2.1435469250725863</c:v>
                </c:pt>
                <c:pt idx="3">
                  <c:v>5.022554283152572</c:v>
                </c:pt>
                <c:pt idx="4">
                  <c:v>9.189586839976279</c:v>
                </c:pt>
                <c:pt idx="5">
                  <c:v>14.682736788600234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ITE!$D$39</c:f>
              <c:strCache>
                <c:ptCount val="1"/>
                <c:pt idx="0">
                  <c:v>=0,5*X^2,0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ITE!$B$40:$B$45</c:f>
              <c:numCache>
                <c:formatCode>General</c:formatCode>
                <c:ptCount val="6"/>
                <c:pt idx="0">
                  <c:v>1</c:v>
                </c:pt>
                <c:pt idx="1">
                  <c:v>0.5</c:v>
                </c:pt>
                <c:pt idx="2">
                  <c:v>2.5</c:v>
                </c:pt>
                <c:pt idx="3">
                  <c:v>5.5</c:v>
                </c:pt>
                <c:pt idx="4">
                  <c:v>9.4</c:v>
                </c:pt>
                <c:pt idx="5">
                  <c:v>15.2</c:v>
                </c:pt>
              </c:numCache>
            </c:numRef>
          </c:xVal>
          <c:yVal>
            <c:numRef>
              <c:f>ITE!$D$40:$D$45</c:f>
              <c:numCache>
                <c:formatCode>0.00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2</c:v>
                </c:pt>
                <c:pt idx="3">
                  <c:v>4.5</c:v>
                </c:pt>
                <c:pt idx="4">
                  <c:v>8</c:v>
                </c:pt>
                <c:pt idx="5">
                  <c:v>12.5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ITE!$E$39</c:f>
              <c:strCache>
                <c:ptCount val="1"/>
                <c:pt idx="0">
                  <c:v>=0,5*X^1,9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ITE!$B$40:$B$45</c:f>
              <c:numCache>
                <c:formatCode>General</c:formatCode>
                <c:ptCount val="6"/>
                <c:pt idx="0">
                  <c:v>1</c:v>
                </c:pt>
                <c:pt idx="1">
                  <c:v>0.5</c:v>
                </c:pt>
                <c:pt idx="2">
                  <c:v>2.5</c:v>
                </c:pt>
                <c:pt idx="3">
                  <c:v>5.5</c:v>
                </c:pt>
                <c:pt idx="4">
                  <c:v>9.4</c:v>
                </c:pt>
                <c:pt idx="5">
                  <c:v>15.2</c:v>
                </c:pt>
              </c:numCache>
            </c:numRef>
          </c:xVal>
          <c:yVal>
            <c:numRef>
              <c:f>ITE!$E$40:$E$45</c:f>
              <c:numCache>
                <c:formatCode>0.00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1.8660659830736148</c:v>
                </c:pt>
                <c:pt idx="3">
                  <c:v>4.0318130692834293</c:v>
                </c:pt>
                <c:pt idx="4">
                  <c:v>6.9644045063689921</c:v>
                </c:pt>
                <c:pt idx="5">
                  <c:v>10.641749031509807</c:v>
                </c:pt>
              </c:numCache>
            </c:numRef>
          </c:yVal>
          <c:smooth val="1"/>
        </c:ser>
        <c:ser>
          <c:idx val="4"/>
          <c:order val="3"/>
          <c:tx>
            <c:strRef>
              <c:f>ITE!$F$39</c:f>
              <c:strCache>
                <c:ptCount val="1"/>
                <c:pt idx="0">
                  <c:v>=0,6*X^2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noFill/>
                <a:prstDash val="solid"/>
              </a:ln>
            </c:spPr>
          </c:marker>
          <c:xVal>
            <c:numRef>
              <c:f>ITE!$B$40:$B$45</c:f>
              <c:numCache>
                <c:formatCode>General</c:formatCode>
                <c:ptCount val="6"/>
                <c:pt idx="0">
                  <c:v>1</c:v>
                </c:pt>
                <c:pt idx="1">
                  <c:v>0.5</c:v>
                </c:pt>
                <c:pt idx="2">
                  <c:v>2.5</c:v>
                </c:pt>
                <c:pt idx="3">
                  <c:v>5.5</c:v>
                </c:pt>
                <c:pt idx="4">
                  <c:v>9.4</c:v>
                </c:pt>
                <c:pt idx="5">
                  <c:v>15.2</c:v>
                </c:pt>
              </c:numCache>
            </c:numRef>
          </c:xVal>
          <c:yVal>
            <c:numRef>
              <c:f>ITE!$F$40:$F$45</c:f>
              <c:numCache>
                <c:formatCode>0.00</c:formatCode>
                <c:ptCount val="6"/>
                <c:pt idx="0">
                  <c:v>0</c:v>
                </c:pt>
                <c:pt idx="1">
                  <c:v>0.6</c:v>
                </c:pt>
                <c:pt idx="2">
                  <c:v>2.4</c:v>
                </c:pt>
                <c:pt idx="3">
                  <c:v>5.3999999999999995</c:v>
                </c:pt>
                <c:pt idx="4">
                  <c:v>9.6</c:v>
                </c:pt>
                <c:pt idx="5">
                  <c:v>15</c:v>
                </c:pt>
              </c:numCache>
            </c:numRef>
          </c:yVal>
          <c:smooth val="1"/>
        </c:ser>
        <c:ser>
          <c:idx val="5"/>
          <c:order val="4"/>
          <c:tx>
            <c:strRef>
              <c:f>ITE!$G$39</c:f>
              <c:strCache>
                <c:ptCount val="1"/>
                <c:pt idx="0">
                  <c:v>=0,7*X^2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ITE!$B$40:$B$45</c:f>
              <c:numCache>
                <c:formatCode>General</c:formatCode>
                <c:ptCount val="6"/>
                <c:pt idx="0">
                  <c:v>1</c:v>
                </c:pt>
                <c:pt idx="1">
                  <c:v>0.5</c:v>
                </c:pt>
                <c:pt idx="2">
                  <c:v>2.5</c:v>
                </c:pt>
                <c:pt idx="3">
                  <c:v>5.5</c:v>
                </c:pt>
                <c:pt idx="4">
                  <c:v>9.4</c:v>
                </c:pt>
                <c:pt idx="5">
                  <c:v>15.2</c:v>
                </c:pt>
              </c:numCache>
            </c:numRef>
          </c:xVal>
          <c:yVal>
            <c:numRef>
              <c:f>ITE!$G$40:$G$45</c:f>
              <c:numCache>
                <c:formatCode>0.00</c:formatCode>
                <c:ptCount val="6"/>
                <c:pt idx="0">
                  <c:v>0</c:v>
                </c:pt>
                <c:pt idx="1">
                  <c:v>0.7</c:v>
                </c:pt>
                <c:pt idx="2">
                  <c:v>2.8</c:v>
                </c:pt>
                <c:pt idx="3">
                  <c:v>6.3</c:v>
                </c:pt>
                <c:pt idx="4">
                  <c:v>11.2</c:v>
                </c:pt>
                <c:pt idx="5">
                  <c:v>17.5</c:v>
                </c:pt>
              </c:numCache>
            </c:numRef>
          </c:yVal>
          <c:smooth val="1"/>
        </c:ser>
        <c:ser>
          <c:idx val="0"/>
          <c:order val="5"/>
          <c:tx>
            <c:strRef>
              <c:f>ITE!$H$39</c:f>
              <c:strCache>
                <c:ptCount val="1"/>
                <c:pt idx="0">
                  <c:v>=Y</c:v>
                </c:pt>
              </c:strCache>
            </c:strRef>
          </c:tx>
          <c:spPr>
            <a:ln>
              <a:noFill/>
            </a:ln>
          </c:spPr>
          <c:xVal>
            <c:numRef>
              <c:f>ITE!$B$40:$B$45</c:f>
              <c:numCache>
                <c:formatCode>General</c:formatCode>
                <c:ptCount val="6"/>
                <c:pt idx="0">
                  <c:v>1</c:v>
                </c:pt>
                <c:pt idx="1">
                  <c:v>0.5</c:v>
                </c:pt>
                <c:pt idx="2">
                  <c:v>2.5</c:v>
                </c:pt>
                <c:pt idx="3">
                  <c:v>5.5</c:v>
                </c:pt>
                <c:pt idx="4">
                  <c:v>9.4</c:v>
                </c:pt>
                <c:pt idx="5">
                  <c:v>15.2</c:v>
                </c:pt>
              </c:numCache>
            </c:numRef>
          </c:xVal>
          <c:yVal>
            <c:numRef>
              <c:f>ITE!$H$40:$H$45</c:f>
              <c:numCache>
                <c:formatCode>0.00</c:formatCode>
                <c:ptCount val="6"/>
                <c:pt idx="0">
                  <c:v>1</c:v>
                </c:pt>
                <c:pt idx="1">
                  <c:v>0.5</c:v>
                </c:pt>
                <c:pt idx="2">
                  <c:v>2.5</c:v>
                </c:pt>
                <c:pt idx="3">
                  <c:v>5.5</c:v>
                </c:pt>
                <c:pt idx="4">
                  <c:v>9.4</c:v>
                </c:pt>
                <c:pt idx="5">
                  <c:v>15.2</c:v>
                </c:pt>
              </c:numCache>
            </c:numRef>
          </c:yVal>
          <c:smooth val="1"/>
        </c:ser>
        <c:axId val="140362112"/>
        <c:axId val="140364032"/>
      </c:scatterChart>
      <c:valAx>
        <c:axId val="1403621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Gemeten waarden Y</a:t>
                </a:r>
              </a:p>
            </c:rich>
          </c:tx>
          <c:layout>
            <c:manualLayout>
              <c:xMode val="edge"/>
              <c:yMode val="edge"/>
              <c:x val="0.36495210606712747"/>
              <c:y val="0.8940836738392110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40364032"/>
        <c:crosses val="autoZero"/>
        <c:crossBetween val="midCat"/>
      </c:valAx>
      <c:valAx>
        <c:axId val="140364032"/>
        <c:scaling>
          <c:orientation val="minMax"/>
          <c:max val="1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Formule</a:t>
                </a:r>
              </a:p>
            </c:rich>
          </c:tx>
          <c:layout>
            <c:manualLayout>
              <c:xMode val="edge"/>
              <c:yMode val="edge"/>
              <c:x val="2.5723472668810296E-2"/>
              <c:y val="0.42679269768339095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4036211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3"/>
        <c:txPr>
          <a:bodyPr/>
          <a:lstStyle/>
          <a:p>
            <a:pPr>
              <a:defRPr sz="87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</c:legendEntry>
      <c:layout>
        <c:manualLayout>
          <c:xMode val="edge"/>
          <c:yMode val="edge"/>
          <c:x val="0.82315180055869897"/>
          <c:y val="0.33021903442470585"/>
          <c:w val="0.14902927580893691"/>
          <c:h val="0.2185011838555155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411" r="0.75000000000000411" t="1" header="0.5" footer="0.5"/>
    <c:pageSetup paperSize="0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nl-NL"/>
              <a:t>Meetwaarden</a:t>
            </a:r>
            <a:r>
              <a:rPr lang="nl-NL" baseline="0"/>
              <a:t> en Functie?</a:t>
            </a:r>
            <a:endParaRPr lang="nl-NL"/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ITE!$B$39</c:f>
              <c:strCache>
                <c:ptCount val="1"/>
                <c:pt idx="0">
                  <c:v>Y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</c:marker>
          <c:trendline>
            <c:name>POLY 2</c:name>
            <c:spPr>
              <a:ln w="19050"/>
            </c:spPr>
            <c:trendlineType val="poly"/>
            <c:order val="2"/>
            <c:dispEq val="1"/>
            <c:trendlineLbl>
              <c:layout>
                <c:manualLayout>
                  <c:x val="-0.26702287482847065"/>
                  <c:y val="0.184572532098443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/>
                  </a:pPr>
                  <a:endParaRPr lang="nl-NL"/>
                </a:p>
              </c:txPr>
            </c:trendlineLbl>
          </c:trendline>
          <c:trendline>
            <c:name>POLY 2 Y(0)=0</c:name>
            <c:spPr>
              <a:ln w="19050">
                <a:solidFill>
                  <a:srgbClr val="FF00FF"/>
                </a:solidFill>
              </a:ln>
            </c:spPr>
            <c:trendlineType val="poly"/>
            <c:order val="2"/>
            <c:intercept val="0"/>
            <c:dispEq val="1"/>
            <c:trendlineLbl>
              <c:layout>
                <c:manualLayout>
                  <c:x val="-0.1495992184554657"/>
                  <c:y val="6.1270948067669952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FF"/>
                      </a:solidFill>
                    </a:defRPr>
                  </a:pPr>
                  <a:endParaRPr lang="nl-NL"/>
                </a:p>
              </c:txPr>
            </c:trendlineLbl>
          </c:trendline>
          <c:xVal>
            <c:numRef>
              <c:f>ITE!$A$40:$A$45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ITE!$B$40:$B$45</c:f>
              <c:numCache>
                <c:formatCode>General</c:formatCode>
                <c:ptCount val="6"/>
                <c:pt idx="0">
                  <c:v>1</c:v>
                </c:pt>
                <c:pt idx="1">
                  <c:v>0.5</c:v>
                </c:pt>
                <c:pt idx="2">
                  <c:v>2.5</c:v>
                </c:pt>
                <c:pt idx="3">
                  <c:v>5.5</c:v>
                </c:pt>
                <c:pt idx="4">
                  <c:v>9.4</c:v>
                </c:pt>
                <c:pt idx="5">
                  <c:v>15.2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ITE!$C$39</c:f>
              <c:strCache>
                <c:ptCount val="1"/>
                <c:pt idx="0">
                  <c:v>=0,5*X^2,1</c:v>
                </c:pt>
              </c:strCache>
            </c:strRef>
          </c:tx>
          <c:marker>
            <c:symbol val="none"/>
          </c:marker>
          <c:xVal>
            <c:numRef>
              <c:f>ITE!$A$40:$A$45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ITE!$C$40:$C$45</c:f>
              <c:numCache>
                <c:formatCode>0.00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2.1435469250725863</c:v>
                </c:pt>
                <c:pt idx="3">
                  <c:v>5.022554283152572</c:v>
                </c:pt>
                <c:pt idx="4">
                  <c:v>9.189586839976279</c:v>
                </c:pt>
                <c:pt idx="5">
                  <c:v>14.682736788600234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ITE!$D$39</c:f>
              <c:strCache>
                <c:ptCount val="1"/>
                <c:pt idx="0">
                  <c:v>=0,5*X^2,0</c:v>
                </c:pt>
              </c:strCache>
            </c:strRef>
          </c:tx>
          <c:marker>
            <c:symbol val="none"/>
          </c:marker>
          <c:xVal>
            <c:numRef>
              <c:f>ITE!$A$40:$A$45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ITE!$D$40:$D$45</c:f>
              <c:numCache>
                <c:formatCode>0.00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2</c:v>
                </c:pt>
                <c:pt idx="3">
                  <c:v>4.5</c:v>
                </c:pt>
                <c:pt idx="4">
                  <c:v>8</c:v>
                </c:pt>
                <c:pt idx="5">
                  <c:v>12.5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ITE!$E$39</c:f>
              <c:strCache>
                <c:ptCount val="1"/>
                <c:pt idx="0">
                  <c:v>=0,5*X^1,9</c:v>
                </c:pt>
              </c:strCache>
            </c:strRef>
          </c:tx>
          <c:marker>
            <c:symbol val="none"/>
          </c:marker>
          <c:xVal>
            <c:numRef>
              <c:f>ITE!$A$40:$A$45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ITE!$E$40:$E$45</c:f>
              <c:numCache>
                <c:formatCode>0.00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1.8660659830736148</c:v>
                </c:pt>
                <c:pt idx="3">
                  <c:v>4.0318130692834293</c:v>
                </c:pt>
                <c:pt idx="4">
                  <c:v>6.9644045063689921</c:v>
                </c:pt>
                <c:pt idx="5">
                  <c:v>10.641749031509807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ITE!$F$39</c:f>
              <c:strCache>
                <c:ptCount val="1"/>
                <c:pt idx="0">
                  <c:v>=0,6*X^2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ITE!$A$40:$A$45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ITE!$F$40:$F$45</c:f>
              <c:numCache>
                <c:formatCode>0.00</c:formatCode>
                <c:ptCount val="6"/>
                <c:pt idx="0">
                  <c:v>0</c:v>
                </c:pt>
                <c:pt idx="1">
                  <c:v>0.6</c:v>
                </c:pt>
                <c:pt idx="2">
                  <c:v>2.4</c:v>
                </c:pt>
                <c:pt idx="3">
                  <c:v>5.3999999999999995</c:v>
                </c:pt>
                <c:pt idx="4">
                  <c:v>9.6</c:v>
                </c:pt>
                <c:pt idx="5">
                  <c:v>15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ITE!$G$39</c:f>
              <c:strCache>
                <c:ptCount val="1"/>
                <c:pt idx="0">
                  <c:v>=0,7*X^2</c:v>
                </c:pt>
              </c:strCache>
            </c:strRef>
          </c:tx>
          <c:marker>
            <c:symbol val="none"/>
          </c:marker>
          <c:xVal>
            <c:numRef>
              <c:f>ITE!$A$40:$A$45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ITE!$G$40:$G$45</c:f>
              <c:numCache>
                <c:formatCode>0.00</c:formatCode>
                <c:ptCount val="6"/>
                <c:pt idx="0">
                  <c:v>0</c:v>
                </c:pt>
                <c:pt idx="1">
                  <c:v>0.7</c:v>
                </c:pt>
                <c:pt idx="2">
                  <c:v>2.8</c:v>
                </c:pt>
                <c:pt idx="3">
                  <c:v>6.3</c:v>
                </c:pt>
                <c:pt idx="4">
                  <c:v>11.2</c:v>
                </c:pt>
                <c:pt idx="5">
                  <c:v>17.5</c:v>
                </c:pt>
              </c:numCache>
            </c:numRef>
          </c:yVal>
          <c:smooth val="1"/>
        </c:ser>
        <c:axId val="140431744"/>
        <c:axId val="140433664"/>
      </c:scatterChart>
      <c:valAx>
        <c:axId val="1404317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X</a:t>
                </a:r>
              </a:p>
            </c:rich>
          </c:tx>
        </c:title>
        <c:numFmt formatCode="General" sourceLinked="1"/>
        <c:majorTickMark val="none"/>
        <c:tickLblPos val="nextTo"/>
        <c:crossAx val="140433664"/>
        <c:crosses val="autoZero"/>
        <c:crossBetween val="midCat"/>
      </c:valAx>
      <c:valAx>
        <c:axId val="1404336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Y</a:t>
                </a:r>
              </a:p>
            </c:rich>
          </c:tx>
        </c:title>
        <c:numFmt formatCode="General" sourceLinked="1"/>
        <c:majorTickMark val="none"/>
        <c:tickLblPos val="nextTo"/>
        <c:crossAx val="140431744"/>
        <c:crosses val="autoZero"/>
        <c:crossBetween val="midCat"/>
      </c:valAx>
    </c:plotArea>
    <c:legend>
      <c:legendPos val="r"/>
      <c:legendEntry>
        <c:idx val="4"/>
        <c:txPr>
          <a:bodyPr/>
          <a:lstStyle/>
          <a:p>
            <a:pPr>
              <a:defRPr b="1">
                <a:solidFill>
                  <a:srgbClr val="FF0000"/>
                </a:solidFill>
              </a:defRPr>
            </a:pPr>
            <a:endParaRPr lang="nl-NL"/>
          </a:p>
        </c:txPr>
      </c:legendEntry>
      <c:legendEntry>
        <c:idx val="6"/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nl-NL"/>
          </a:p>
        </c:txPr>
      </c:legendEntry>
      <c:legendEntry>
        <c:idx val="7"/>
        <c:txPr>
          <a:bodyPr/>
          <a:lstStyle/>
          <a:p>
            <a:pPr>
              <a:defRPr b="1">
                <a:solidFill>
                  <a:srgbClr val="FF00FF"/>
                </a:solidFill>
              </a:defRPr>
            </a:pPr>
            <a:endParaRPr lang="nl-NL"/>
          </a:p>
        </c:txPr>
      </c:legendEntry>
    </c:legend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nl-NL"/>
              <a:t>Formule</a:t>
            </a:r>
            <a:r>
              <a:rPr lang="nl-NL" baseline="0"/>
              <a:t> - Y</a:t>
            </a:r>
          </a:p>
        </c:rich>
      </c:tx>
    </c:title>
    <c:plotArea>
      <c:layout/>
      <c:scatterChart>
        <c:scatterStyle val="smoothMarker"/>
        <c:ser>
          <c:idx val="1"/>
          <c:order val="0"/>
          <c:tx>
            <c:strRef>
              <c:f>ITE!$C$39</c:f>
              <c:strCache>
                <c:ptCount val="1"/>
                <c:pt idx="0">
                  <c:v>=0,5*X^2,1</c:v>
                </c:pt>
              </c:strCache>
            </c:strRef>
          </c:tx>
          <c:marker>
            <c:symbol val="star"/>
            <c:size val="7"/>
          </c:marker>
          <c:xVal>
            <c:numRef>
              <c:f>ITE!$A$47:$A$52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ITE!$C$47:$C$52</c:f>
              <c:numCache>
                <c:formatCode>0.00</c:formatCode>
                <c:ptCount val="6"/>
                <c:pt idx="0">
                  <c:v>-1</c:v>
                </c:pt>
                <c:pt idx="1">
                  <c:v>0</c:v>
                </c:pt>
                <c:pt idx="2">
                  <c:v>-0.35645307492741374</c:v>
                </c:pt>
                <c:pt idx="3">
                  <c:v>-0.47744571684742798</c:v>
                </c:pt>
                <c:pt idx="4">
                  <c:v>-0.21041316002372135</c:v>
                </c:pt>
                <c:pt idx="5">
                  <c:v>-0.51726321139976505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ITE!$D$39</c:f>
              <c:strCache>
                <c:ptCount val="1"/>
                <c:pt idx="0">
                  <c:v>=0,5*X^2,0</c:v>
                </c:pt>
              </c:strCache>
            </c:strRef>
          </c:tx>
          <c:xVal>
            <c:numRef>
              <c:f>ITE!$A$47:$A$52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ITE!$D$47:$D$52</c:f>
              <c:numCache>
                <c:formatCode>0.00</c:formatCode>
                <c:ptCount val="6"/>
                <c:pt idx="0">
                  <c:v>-1</c:v>
                </c:pt>
                <c:pt idx="1">
                  <c:v>0</c:v>
                </c:pt>
                <c:pt idx="2">
                  <c:v>-0.5</c:v>
                </c:pt>
                <c:pt idx="3">
                  <c:v>-1</c:v>
                </c:pt>
                <c:pt idx="4">
                  <c:v>-1.4000000000000004</c:v>
                </c:pt>
                <c:pt idx="5">
                  <c:v>-2.6999999999999993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ITE!$E$39</c:f>
              <c:strCache>
                <c:ptCount val="1"/>
                <c:pt idx="0">
                  <c:v>=0,5*X^1,9</c:v>
                </c:pt>
              </c:strCache>
            </c:strRef>
          </c:tx>
          <c:marker>
            <c:symbol val="circle"/>
            <c:size val="5"/>
          </c:marker>
          <c:xVal>
            <c:numRef>
              <c:f>ITE!$A$47:$A$52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ITE!$E$47:$E$52</c:f>
              <c:numCache>
                <c:formatCode>0.00</c:formatCode>
                <c:ptCount val="6"/>
                <c:pt idx="0">
                  <c:v>-1</c:v>
                </c:pt>
                <c:pt idx="1">
                  <c:v>0</c:v>
                </c:pt>
                <c:pt idx="2">
                  <c:v>-0.63393401692638518</c:v>
                </c:pt>
                <c:pt idx="3">
                  <c:v>-1.4681869307165707</c:v>
                </c:pt>
                <c:pt idx="4">
                  <c:v>-2.4355954936310082</c:v>
                </c:pt>
                <c:pt idx="5">
                  <c:v>-4.5582509684901922</c:v>
                </c:pt>
              </c:numCache>
            </c:numRef>
          </c:yVal>
          <c:smooth val="1"/>
        </c:ser>
        <c:ser>
          <c:idx val="4"/>
          <c:order val="3"/>
          <c:tx>
            <c:strRef>
              <c:f>ITE!$F$39</c:f>
              <c:strCache>
                <c:ptCount val="1"/>
                <c:pt idx="0">
                  <c:v>=0,6*X^2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ITE!$A$47:$A$52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ITE!$F$47:$F$52</c:f>
              <c:numCache>
                <c:formatCode>0.00</c:formatCode>
                <c:ptCount val="6"/>
                <c:pt idx="0">
                  <c:v>-1</c:v>
                </c:pt>
                <c:pt idx="1">
                  <c:v>9.9999999999999978E-2</c:v>
                </c:pt>
                <c:pt idx="2">
                  <c:v>-0.10000000000000009</c:v>
                </c:pt>
                <c:pt idx="3">
                  <c:v>-0.10000000000000053</c:v>
                </c:pt>
                <c:pt idx="4">
                  <c:v>0.19999999999999929</c:v>
                </c:pt>
                <c:pt idx="5">
                  <c:v>-0.19999999999999929</c:v>
                </c:pt>
              </c:numCache>
            </c:numRef>
          </c:yVal>
          <c:smooth val="1"/>
        </c:ser>
        <c:ser>
          <c:idx val="5"/>
          <c:order val="4"/>
          <c:tx>
            <c:strRef>
              <c:f>ITE!$G$39</c:f>
              <c:strCache>
                <c:ptCount val="1"/>
                <c:pt idx="0">
                  <c:v>=0,7*X^2</c:v>
                </c:pt>
              </c:strCache>
            </c:strRef>
          </c:tx>
          <c:marker>
            <c:symbol val="circle"/>
            <c:size val="5"/>
          </c:marker>
          <c:xVal>
            <c:numRef>
              <c:f>ITE!$A$47:$A$52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ITE!$G$47:$G$52</c:f>
              <c:numCache>
                <c:formatCode>0.00</c:formatCode>
                <c:ptCount val="6"/>
                <c:pt idx="0">
                  <c:v>-1</c:v>
                </c:pt>
                <c:pt idx="1">
                  <c:v>0.19999999999999996</c:v>
                </c:pt>
                <c:pt idx="2">
                  <c:v>0.29999999999999982</c:v>
                </c:pt>
                <c:pt idx="3">
                  <c:v>0.79999999999999982</c:v>
                </c:pt>
                <c:pt idx="4">
                  <c:v>1.7999999999999989</c:v>
                </c:pt>
                <c:pt idx="5">
                  <c:v>2.3000000000000007</c:v>
                </c:pt>
              </c:numCache>
            </c:numRef>
          </c:yVal>
          <c:smooth val="1"/>
        </c:ser>
        <c:axId val="140479872"/>
        <c:axId val="140486144"/>
      </c:scatterChart>
      <c:valAx>
        <c:axId val="1404798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X</a:t>
                </a:r>
              </a:p>
            </c:rich>
          </c:tx>
        </c:title>
        <c:numFmt formatCode="General" sourceLinked="1"/>
        <c:majorTickMark val="none"/>
        <c:tickLblPos val="nextTo"/>
        <c:crossAx val="140486144"/>
        <c:crosses val="autoZero"/>
        <c:crossBetween val="midCat"/>
      </c:valAx>
      <c:valAx>
        <c:axId val="1404861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Verschil</a:t>
                </a:r>
              </a:p>
              <a:p>
                <a:pPr>
                  <a:defRPr/>
                </a:pPr>
                <a:endParaRPr lang="nl-NL"/>
              </a:p>
            </c:rich>
          </c:tx>
        </c:title>
        <c:numFmt formatCode="0.00" sourceLinked="1"/>
        <c:majorTickMark val="none"/>
        <c:tickLblPos val="nextTo"/>
        <c:crossAx val="140479872"/>
        <c:crosses val="autoZero"/>
        <c:crossBetween val="midCat"/>
      </c:valAx>
    </c:plotArea>
    <c:legend>
      <c:legendPos val="r"/>
      <c:legendEntry>
        <c:idx val="3"/>
        <c:txPr>
          <a:bodyPr/>
          <a:lstStyle/>
          <a:p>
            <a:pPr>
              <a:defRPr b="1">
                <a:solidFill>
                  <a:srgbClr val="FF0000"/>
                </a:solidFill>
              </a:defRPr>
            </a:pPr>
            <a:endParaRPr lang="nl-NL"/>
          </a:p>
        </c:txPr>
      </c:legendEntry>
    </c:legend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scatterChart>
        <c:scatterStyle val="lineMarker"/>
        <c:ser>
          <c:idx val="0"/>
          <c:order val="0"/>
          <c:tx>
            <c:strRef>
              <c:f>'ITE FV'!$B$14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-0.19487528847626495"/>
                  <c:y val="2.6587614048244002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/>
                  </a:pPr>
                  <a:endParaRPr lang="nl-NL"/>
                </a:p>
              </c:txPr>
            </c:trendlineLbl>
          </c:trendline>
          <c:xVal>
            <c:numRef>
              <c:f>'ITE FV'!$A$16:$A$25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'ITE FV'!$B$16:$B$25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7</c:v>
                </c:pt>
                <c:pt idx="4">
                  <c:v>4</c:v>
                </c:pt>
                <c:pt idx="5">
                  <c:v>8</c:v>
                </c:pt>
                <c:pt idx="6">
                  <c:v>5</c:v>
                </c:pt>
                <c:pt idx="7">
                  <c:v>7</c:v>
                </c:pt>
                <c:pt idx="8">
                  <c:v>11</c:v>
                </c:pt>
                <c:pt idx="9">
                  <c:v>9</c:v>
                </c:pt>
              </c:numCache>
            </c:numRef>
          </c:yVal>
        </c:ser>
        <c:ser>
          <c:idx val="4"/>
          <c:order val="1"/>
          <c:tx>
            <c:strRef>
              <c:f>'ITE FV'!$F$14</c:f>
              <c:strCache>
                <c:ptCount val="1"/>
                <c:pt idx="0">
                  <c:v>VERSCHIL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</c:marker>
          <c:trendline>
            <c:trendlineType val="linear"/>
            <c:dispEq val="1"/>
            <c:trendlineLbl>
              <c:layout>
                <c:manualLayout>
                  <c:x val="0.2425091229793459"/>
                  <c:y val="5.4269153855768033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/>
                  </a:pPr>
                  <a:endParaRPr lang="nl-NL"/>
                </a:p>
              </c:txPr>
            </c:trendlineLbl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xVal>
            <c:numRef>
              <c:f>'ITE FV'!$A$16:$A$25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'ITE FV'!$F$16:$F$25</c:f>
              <c:numCache>
                <c:formatCode>General</c:formatCode>
                <c:ptCount val="10"/>
                <c:pt idx="0">
                  <c:v>-2.242</c:v>
                </c:pt>
                <c:pt idx="1">
                  <c:v>-0.48399999999999999</c:v>
                </c:pt>
                <c:pt idx="2">
                  <c:v>-2.726</c:v>
                </c:pt>
                <c:pt idx="3">
                  <c:v>-3.968</c:v>
                </c:pt>
                <c:pt idx="4">
                  <c:v>-0.20999999999999996</c:v>
                </c:pt>
                <c:pt idx="5">
                  <c:v>-3.452</c:v>
                </c:pt>
                <c:pt idx="6">
                  <c:v>0.30600000000000005</c:v>
                </c:pt>
                <c:pt idx="7">
                  <c:v>-0.93599999999999994</c:v>
                </c:pt>
                <c:pt idx="8">
                  <c:v>-4.1779999999999999</c:v>
                </c:pt>
                <c:pt idx="9">
                  <c:v>-1.42</c:v>
                </c:pt>
              </c:numCache>
            </c:numRef>
          </c:yVal>
        </c:ser>
        <c:ser>
          <c:idx val="8"/>
          <c:order val="2"/>
          <c:tx>
            <c:strRef>
              <c:f>'ITE FV'!$J$14</c:f>
              <c:strCache>
                <c:ptCount val="1"/>
                <c:pt idx="0">
                  <c:v>FUNCTIE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'ITE FV'!$A$16:$A$25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'ITE FV'!$J$16:$J$25</c:f>
              <c:numCache>
                <c:formatCode>General</c:formatCode>
                <c:ptCount val="10"/>
                <c:pt idx="0">
                  <c:v>2.6879999999999997</c:v>
                </c:pt>
                <c:pt idx="1">
                  <c:v>3.4459999999999997</c:v>
                </c:pt>
                <c:pt idx="2">
                  <c:v>4.2039999999999997</c:v>
                </c:pt>
                <c:pt idx="3">
                  <c:v>4.9619999999999997</c:v>
                </c:pt>
                <c:pt idx="4">
                  <c:v>5.72</c:v>
                </c:pt>
                <c:pt idx="5">
                  <c:v>6.4779999999999998</c:v>
                </c:pt>
                <c:pt idx="6">
                  <c:v>7.2359999999999998</c:v>
                </c:pt>
                <c:pt idx="7">
                  <c:v>7.9939999999999998</c:v>
                </c:pt>
                <c:pt idx="8">
                  <c:v>8.7520000000000007</c:v>
                </c:pt>
                <c:pt idx="9">
                  <c:v>9.51</c:v>
                </c:pt>
              </c:numCache>
            </c:numRef>
          </c:yVal>
        </c:ser>
        <c:axId val="141774208"/>
        <c:axId val="141784192"/>
      </c:scatterChart>
      <c:valAx>
        <c:axId val="141774208"/>
        <c:scaling>
          <c:orientation val="minMax"/>
        </c:scaling>
        <c:axPos val="b"/>
        <c:numFmt formatCode="General" sourceLinked="1"/>
        <c:tickLblPos val="nextTo"/>
        <c:crossAx val="141784192"/>
        <c:crosses val="autoZero"/>
        <c:crossBetween val="midCat"/>
      </c:valAx>
      <c:valAx>
        <c:axId val="141784192"/>
        <c:scaling>
          <c:orientation val="minMax"/>
        </c:scaling>
        <c:axPos val="l"/>
        <c:majorGridlines/>
        <c:numFmt formatCode="General" sourceLinked="1"/>
        <c:tickLblPos val="nextTo"/>
        <c:crossAx val="141774208"/>
        <c:crosses val="autoZero"/>
        <c:crossBetween val="midCat"/>
      </c:valAx>
    </c:plotArea>
    <c:legend>
      <c:legendPos val="r"/>
      <c:legendEntry>
        <c:idx val="3"/>
        <c:txPr>
          <a:bodyPr/>
          <a:lstStyle/>
          <a:p>
            <a:pPr>
              <a:defRPr b="1"/>
            </a:pPr>
            <a:endParaRPr lang="nl-NL"/>
          </a:p>
        </c:txPr>
      </c:legendEntry>
      <c:legendEntry>
        <c:idx val="4"/>
        <c:delete val="1"/>
      </c:legendEntry>
      <c:legendEntry>
        <c:idx val="5"/>
        <c:delete val="1"/>
      </c:legendEntry>
      <c:legendEntry>
        <c:idx val="6"/>
        <c:txPr>
          <a:bodyPr/>
          <a:lstStyle/>
          <a:p>
            <a:pPr>
              <a:defRPr b="1"/>
            </a:pPr>
            <a:endParaRPr lang="nl-NL"/>
          </a:p>
        </c:txPr>
      </c:legendEntry>
      <c:legendEntry>
        <c:idx val="7"/>
        <c:delete val="1"/>
      </c:legendEntry>
      <c:layout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scatterChart>
        <c:scatterStyle val="smoothMarker"/>
        <c:ser>
          <c:idx val="0"/>
          <c:order val="0"/>
          <c:tx>
            <c:strRef>
              <c:f>'ITE FV'!$B$95</c:f>
              <c:strCache>
                <c:ptCount val="1"/>
                <c:pt idx="0">
                  <c:v>Y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</c:marker>
          <c:xVal>
            <c:numRef>
              <c:f>'ITE FV'!$A$96:$A$101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'ITE FV'!$B$96:$B$101</c:f>
              <c:numCache>
                <c:formatCode>General</c:formatCode>
                <c:ptCount val="6"/>
                <c:pt idx="0">
                  <c:v>1</c:v>
                </c:pt>
                <c:pt idx="1">
                  <c:v>0.5</c:v>
                </c:pt>
                <c:pt idx="2">
                  <c:v>2.5</c:v>
                </c:pt>
                <c:pt idx="3">
                  <c:v>5.5</c:v>
                </c:pt>
                <c:pt idx="4">
                  <c:v>9.4</c:v>
                </c:pt>
                <c:pt idx="5">
                  <c:v>15.2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'ITE FV'!$C$95</c:f>
              <c:strCache>
                <c:ptCount val="1"/>
                <c:pt idx="0">
                  <c:v> Y = 0,31361 + 0,57 * X^2,02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xVal>
            <c:numRef>
              <c:f>'ITE FV'!$A$96:$A$101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'ITE FV'!$C$96:$C$101</c:f>
              <c:numCache>
                <c:formatCode>General</c:formatCode>
                <c:ptCount val="6"/>
                <c:pt idx="0">
                  <c:v>0.31361</c:v>
                </c:pt>
                <c:pt idx="1">
                  <c:v>0.88361000000000001</c:v>
                </c:pt>
                <c:pt idx="2">
                  <c:v>2.6254376139212665</c:v>
                </c:pt>
                <c:pt idx="3">
                  <c:v>5.5575750701185891</c:v>
                </c:pt>
                <c:pt idx="4">
                  <c:v>9.6900080991033271</c:v>
                </c:pt>
                <c:pt idx="5">
                  <c:v>15.029761983524313</c:v>
                </c:pt>
              </c:numCache>
            </c:numRef>
          </c:yVal>
          <c:smooth val="1"/>
        </c:ser>
        <c:ser>
          <c:idx val="4"/>
          <c:order val="2"/>
          <c:tx>
            <c:strRef>
              <c:f>'ITE FV'!$F$95</c:f>
              <c:strCache>
                <c:ptCount val="1"/>
                <c:pt idx="0">
                  <c:v>Y = 0,6 * X^2,01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'ITE FV'!$A$96:$A$101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'ITE FV'!$F$96:$F$101</c:f>
              <c:numCache>
                <c:formatCode>General</c:formatCode>
                <c:ptCount val="6"/>
                <c:pt idx="0">
                  <c:v>0</c:v>
                </c:pt>
                <c:pt idx="1">
                  <c:v>0.6</c:v>
                </c:pt>
                <c:pt idx="2">
                  <c:v>2.4166933201361247</c:v>
                </c:pt>
                <c:pt idx="3">
                  <c:v>5.4596521364644088</c:v>
                </c:pt>
                <c:pt idx="4">
                  <c:v>9.734011005984275</c:v>
                </c:pt>
                <c:pt idx="5">
                  <c:v>15.243368869009876</c:v>
                </c:pt>
              </c:numCache>
            </c:numRef>
          </c:yVal>
          <c:smooth val="1"/>
        </c:ser>
        <c:ser>
          <c:idx val="6"/>
          <c:order val="3"/>
          <c:tx>
            <c:strRef>
              <c:f>'ITE FV'!$H$95</c:f>
              <c:strCache>
                <c:ptCount val="1"/>
                <c:pt idx="0">
                  <c:v>Y = 0,17 + 0,7*e^(0,621*X)</c:v>
                </c:pt>
              </c:strCache>
            </c:strRef>
          </c:tx>
          <c:marker>
            <c:symbol val="none"/>
          </c:marker>
          <c:xVal>
            <c:numRef>
              <c:f>'ITE FV'!$A$96:$A$101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'ITE FV'!$H$96:$H$101</c:f>
              <c:numCache>
                <c:formatCode>General</c:formatCode>
                <c:ptCount val="6"/>
                <c:pt idx="0">
                  <c:v>0.87</c:v>
                </c:pt>
                <c:pt idx="1">
                  <c:v>1.4725515297634755</c:v>
                </c:pt>
                <c:pt idx="2">
                  <c:v>2.5937721252702435</c:v>
                </c:pt>
                <c:pt idx="3">
                  <c:v>4.6801258422411811</c:v>
                </c:pt>
                <c:pt idx="4">
                  <c:v>8.562387593195762</c:v>
                </c:pt>
                <c:pt idx="5">
                  <c:v>15.786453282693079</c:v>
                </c:pt>
              </c:numCache>
            </c:numRef>
          </c:yVal>
          <c:smooth val="1"/>
        </c:ser>
        <c:axId val="141566720"/>
        <c:axId val="141568256"/>
      </c:scatterChart>
      <c:valAx>
        <c:axId val="141566720"/>
        <c:scaling>
          <c:orientation val="minMax"/>
        </c:scaling>
        <c:axPos val="b"/>
        <c:numFmt formatCode="General" sourceLinked="1"/>
        <c:tickLblPos val="nextTo"/>
        <c:crossAx val="141568256"/>
        <c:crosses val="autoZero"/>
        <c:crossBetween val="midCat"/>
      </c:valAx>
      <c:valAx>
        <c:axId val="141568256"/>
        <c:scaling>
          <c:orientation val="minMax"/>
        </c:scaling>
        <c:axPos val="l"/>
        <c:majorGridlines/>
        <c:numFmt formatCode="General" sourceLinked="1"/>
        <c:tickLblPos val="nextTo"/>
        <c:crossAx val="141566720"/>
        <c:crosses val="autoZero"/>
        <c:crossBetween val="midCat"/>
      </c:valAx>
    </c:plotArea>
    <c:legend>
      <c:legendPos val="r"/>
      <c:legendEntry>
        <c:idx val="2"/>
        <c:txPr>
          <a:bodyPr/>
          <a:lstStyle/>
          <a:p>
            <a:pPr>
              <a:defRPr b="1">
                <a:solidFill>
                  <a:srgbClr val="FF0000"/>
                </a:solidFill>
              </a:defRPr>
            </a:pPr>
            <a:endParaRPr lang="nl-NL"/>
          </a:p>
        </c:txPr>
      </c:legendEntry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scatterChart>
        <c:scatterStyle val="lineMarker"/>
        <c:ser>
          <c:idx val="1"/>
          <c:order val="0"/>
          <c:spPr>
            <a:ln w="19050"/>
          </c:spPr>
          <c:marker>
            <c:symbol val="none"/>
          </c:marker>
          <c:xVal>
            <c:numRef>
              <c:f>EF!$U$4:$AE$4</c:f>
              <c:numCache>
                <c:formatCode>General</c:formatCode>
                <c:ptCount val="11"/>
                <c:pt idx="0">
                  <c:v>-10</c:v>
                </c:pt>
                <c:pt idx="1">
                  <c:v>-8</c:v>
                </c:pt>
                <c:pt idx="2">
                  <c:v>-5</c:v>
                </c:pt>
                <c:pt idx="3">
                  <c:v>-2</c:v>
                </c:pt>
                <c:pt idx="4">
                  <c:v>1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9">
                  <c:v>-0.25</c:v>
                </c:pt>
                <c:pt idx="10">
                  <c:v>-0.25</c:v>
                </c:pt>
              </c:numCache>
            </c:numRef>
          </c:xVal>
          <c:yVal>
            <c:numRef>
              <c:f>EF!$U$5:$AE$5</c:f>
              <c:numCache>
                <c:formatCode>General</c:formatCode>
                <c:ptCount val="11"/>
                <c:pt idx="0">
                  <c:v>-4.375</c:v>
                </c:pt>
                <c:pt idx="1">
                  <c:v>-4.375</c:v>
                </c:pt>
                <c:pt idx="2">
                  <c:v>-4.375</c:v>
                </c:pt>
                <c:pt idx="3">
                  <c:v>-4.375</c:v>
                </c:pt>
                <c:pt idx="4">
                  <c:v>-4.375</c:v>
                </c:pt>
                <c:pt idx="5">
                  <c:v>-4.375</c:v>
                </c:pt>
                <c:pt idx="6">
                  <c:v>-4.375</c:v>
                </c:pt>
                <c:pt idx="7">
                  <c:v>-4.375</c:v>
                </c:pt>
                <c:pt idx="9">
                  <c:v>-10</c:v>
                </c:pt>
                <c:pt idx="10">
                  <c:v>10</c:v>
                </c:pt>
              </c:numCache>
            </c:numRef>
          </c:yVal>
        </c:ser>
        <c:ser>
          <c:idx val="4"/>
          <c:order val="1"/>
          <c:spPr>
            <a:ln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trendline>
            <c:spPr>
              <a:ln w="28575">
                <a:solidFill>
                  <a:srgbClr val="FF0000"/>
                </a:solidFill>
              </a:ln>
            </c:spPr>
            <c:trendlineType val="linear"/>
            <c:dispEq val="1"/>
            <c:trendlineLbl>
              <c:layout>
                <c:manualLayout>
                  <c:x val="-8.6965441819772546E-2"/>
                  <c:y val="0.4370807815689734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 b="1">
                      <a:solidFill>
                        <a:srgbClr val="FF0000"/>
                      </a:solidFill>
                    </a:defRPr>
                  </a:pPr>
                  <a:endParaRPr lang="nl-NL"/>
                </a:p>
              </c:txPr>
            </c:trendlineLbl>
          </c:trendline>
          <c:xVal>
            <c:numRef>
              <c:f>EF!$U$4:$AE$4</c:f>
              <c:numCache>
                <c:formatCode>General</c:formatCode>
                <c:ptCount val="11"/>
                <c:pt idx="0">
                  <c:v>-10</c:v>
                </c:pt>
                <c:pt idx="1">
                  <c:v>-8</c:v>
                </c:pt>
                <c:pt idx="2">
                  <c:v>-5</c:v>
                </c:pt>
                <c:pt idx="3">
                  <c:v>-2</c:v>
                </c:pt>
                <c:pt idx="4">
                  <c:v>1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9">
                  <c:v>-0.25</c:v>
                </c:pt>
                <c:pt idx="10">
                  <c:v>-0.25</c:v>
                </c:pt>
              </c:numCache>
            </c:numRef>
          </c:xVal>
          <c:yVal>
            <c:numRef>
              <c:f>EF!$U$6:$AE$6</c:f>
              <c:numCache>
                <c:formatCode>General</c:formatCode>
                <c:ptCount val="11"/>
              </c:numCache>
            </c:numRef>
          </c:yVal>
        </c:ser>
        <c:ser>
          <c:idx val="0"/>
          <c:order val="2"/>
          <c:marker>
            <c:symbol val="none"/>
          </c:marker>
          <c:xVal>
            <c:numRef>
              <c:f>EF!$U$4:$AE$4</c:f>
              <c:numCache>
                <c:formatCode>General</c:formatCode>
                <c:ptCount val="11"/>
                <c:pt idx="0">
                  <c:v>-10</c:v>
                </c:pt>
                <c:pt idx="1">
                  <c:v>-8</c:v>
                </c:pt>
                <c:pt idx="2">
                  <c:v>-5</c:v>
                </c:pt>
                <c:pt idx="3">
                  <c:v>-2</c:v>
                </c:pt>
                <c:pt idx="4">
                  <c:v>1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9">
                  <c:v>-0.25</c:v>
                </c:pt>
                <c:pt idx="10">
                  <c:v>-0.25</c:v>
                </c:pt>
              </c:numCache>
            </c:numRef>
          </c:xVal>
          <c:yVal>
            <c:numRef>
              <c:f>EF!$U$7:$AE$7</c:f>
              <c:numCache>
                <c:formatCode>General</c:formatCode>
                <c:ptCount val="11"/>
                <c:pt idx="0">
                  <c:v>-175</c:v>
                </c:pt>
                <c:pt idx="1">
                  <c:v>-140</c:v>
                </c:pt>
                <c:pt idx="2">
                  <c:v>-87.5</c:v>
                </c:pt>
                <c:pt idx="3">
                  <c:v>-35</c:v>
                </c:pt>
                <c:pt idx="4">
                  <c:v>17.5</c:v>
                </c:pt>
                <c:pt idx="5">
                  <c:v>87.5</c:v>
                </c:pt>
                <c:pt idx="6">
                  <c:v>122.5</c:v>
                </c:pt>
                <c:pt idx="7">
                  <c:v>175</c:v>
                </c:pt>
              </c:numCache>
            </c:numRef>
          </c:yVal>
        </c:ser>
        <c:ser>
          <c:idx val="3"/>
          <c:order val="3"/>
          <c:spPr>
            <a:ln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trendline>
            <c:spPr>
              <a:ln w="25400">
                <a:solidFill>
                  <a:srgbClr val="FF0000"/>
                </a:solidFill>
              </a:ln>
            </c:spPr>
            <c:trendlineType val="linear"/>
            <c:dispEq val="1"/>
            <c:trendlineLbl>
              <c:layout>
                <c:manualLayout>
                  <c:x val="-0.10918766404199474"/>
                  <c:y val="0.5296733741615631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nl-NL"/>
                </a:p>
              </c:txPr>
            </c:trendlineLbl>
          </c:trendline>
          <c:trendline>
            <c:trendlineType val="linear"/>
            <c:intercept val="0"/>
            <c:dispEq val="1"/>
            <c:trendlineLbl>
              <c:layout>
                <c:manualLayout>
                  <c:x val="-6.5923665791776026E-2"/>
                  <c:y val="1.5281423155438921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/>
                  </a:pPr>
                  <a:endParaRPr lang="nl-NL"/>
                </a:p>
              </c:txPr>
            </c:trendlineLbl>
          </c:trendline>
          <c:xVal>
            <c:numRef>
              <c:f>EF!$U$4:$AE$4</c:f>
              <c:numCache>
                <c:formatCode>General</c:formatCode>
                <c:ptCount val="11"/>
                <c:pt idx="0">
                  <c:v>-10</c:v>
                </c:pt>
                <c:pt idx="1">
                  <c:v>-8</c:v>
                </c:pt>
                <c:pt idx="2">
                  <c:v>-5</c:v>
                </c:pt>
                <c:pt idx="3">
                  <c:v>-2</c:v>
                </c:pt>
                <c:pt idx="4">
                  <c:v>1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9">
                  <c:v>-0.25</c:v>
                </c:pt>
                <c:pt idx="10">
                  <c:v>-0.25</c:v>
                </c:pt>
              </c:numCache>
            </c:numRef>
          </c:xVal>
          <c:yVal>
            <c:numRef>
              <c:f>EF!$U$9:$AE$9</c:f>
              <c:numCache>
                <c:formatCode>General</c:formatCode>
                <c:ptCount val="11"/>
                <c:pt idx="0">
                  <c:v>-9.5</c:v>
                </c:pt>
                <c:pt idx="1">
                  <c:v>-11</c:v>
                </c:pt>
                <c:pt idx="2">
                  <c:v>-9</c:v>
                </c:pt>
                <c:pt idx="3">
                  <c:v>-4.5</c:v>
                </c:pt>
                <c:pt idx="4">
                  <c:v>-5</c:v>
                </c:pt>
                <c:pt idx="5">
                  <c:v>1</c:v>
                </c:pt>
                <c:pt idx="6">
                  <c:v>-0.5</c:v>
                </c:pt>
                <c:pt idx="7">
                  <c:v>3.5</c:v>
                </c:pt>
              </c:numCache>
            </c:numRef>
          </c:yVal>
        </c:ser>
        <c:axId val="141822976"/>
        <c:axId val="141828864"/>
      </c:scatterChart>
      <c:valAx>
        <c:axId val="141822976"/>
        <c:scaling>
          <c:orientation val="minMax"/>
          <c:max val="10"/>
          <c:min val="-10"/>
        </c:scaling>
        <c:axPos val="b"/>
        <c:numFmt formatCode="General" sourceLinked="1"/>
        <c:tickLblPos val="nextTo"/>
        <c:crossAx val="141828864"/>
        <c:crosses val="autoZero"/>
        <c:crossBetween val="midCat"/>
        <c:majorUnit val="1"/>
      </c:valAx>
      <c:valAx>
        <c:axId val="141828864"/>
        <c:scaling>
          <c:orientation val="minMax"/>
          <c:max val="10"/>
          <c:min val="-10"/>
        </c:scaling>
        <c:axPos val="l"/>
        <c:majorGridlines/>
        <c:numFmt formatCode="General" sourceLinked="1"/>
        <c:tickLblPos val="nextTo"/>
        <c:crossAx val="141822976"/>
        <c:crosses val="autoZero"/>
        <c:crossBetween val="midCat"/>
      </c:valAx>
    </c:plotArea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autoTitleDeleted val="1"/>
    <c:plotArea>
      <c:layout>
        <c:manualLayout>
          <c:layoutTarget val="inner"/>
          <c:xMode val="edge"/>
          <c:yMode val="edge"/>
          <c:x val="5.7096512570965118E-2"/>
          <c:y val="0.11201217389179705"/>
          <c:w val="0.89077865266842327"/>
          <c:h val="0.84870289717856895"/>
        </c:manualLayout>
      </c:layout>
      <c:scatterChart>
        <c:scatterStyle val="lineMarker"/>
        <c:ser>
          <c:idx val="1"/>
          <c:order val="1"/>
          <c:tx>
            <c:strRef>
              <c:f>LM!$B$64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xVal>
            <c:numRef>
              <c:f>LM!$A$65:$A$70</c:f>
              <c:numCache>
                <c:formatCode>General</c:formatCode>
                <c:ptCount val="6"/>
                <c:pt idx="0">
                  <c:v>-16</c:v>
                </c:pt>
                <c:pt idx="1">
                  <c:v>-14</c:v>
                </c:pt>
                <c:pt idx="2">
                  <c:v>-6</c:v>
                </c:pt>
                <c:pt idx="3">
                  <c:v>4</c:v>
                </c:pt>
                <c:pt idx="4">
                  <c:v>10</c:v>
                </c:pt>
                <c:pt idx="5">
                  <c:v>12</c:v>
                </c:pt>
              </c:numCache>
            </c:numRef>
          </c:xVal>
          <c:yVal>
            <c:numRef>
              <c:f>LM!$B$65:$B$70</c:f>
              <c:numCache>
                <c:formatCode>General</c:formatCode>
                <c:ptCount val="6"/>
                <c:pt idx="0">
                  <c:v>70</c:v>
                </c:pt>
                <c:pt idx="1">
                  <c:v>30</c:v>
                </c:pt>
                <c:pt idx="2">
                  <c:v>-5</c:v>
                </c:pt>
                <c:pt idx="3">
                  <c:v>19</c:v>
                </c:pt>
                <c:pt idx="4">
                  <c:v>75</c:v>
                </c:pt>
                <c:pt idx="5">
                  <c:v>127</c:v>
                </c:pt>
              </c:numCache>
            </c:numRef>
          </c:yVal>
        </c:ser>
        <c:ser>
          <c:idx val="0"/>
          <c:order val="0"/>
          <c:tx>
            <c:strRef>
              <c:f>LM!$B$64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trendline>
            <c:spPr>
              <a:ln w="25400">
                <a:solidFill>
                  <a:srgbClr val="FF00FF"/>
                </a:solidFill>
              </a:ln>
            </c:spPr>
            <c:trendlineType val="poly"/>
            <c:order val="6"/>
            <c:intercept val="0"/>
            <c:dispEq val="1"/>
            <c:trendlineLbl>
              <c:layout>
                <c:manualLayout>
                  <c:x val="6.9542492533261136E-3"/>
                  <c:y val="-0.2465273983609194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 b="1">
                      <a:solidFill>
                        <a:srgbClr val="FF00FF"/>
                      </a:solidFill>
                    </a:defRPr>
                  </a:pPr>
                  <a:endParaRPr lang="nl-NL"/>
                </a:p>
              </c:txPr>
            </c:trendlineLbl>
          </c:trendline>
          <c:trendline>
            <c:spPr>
              <a:ln w="19050">
                <a:solidFill>
                  <a:srgbClr val="7030A0"/>
                </a:solidFill>
              </a:ln>
            </c:spPr>
            <c:trendlineType val="linear"/>
            <c:intercept val="0"/>
            <c:dispEq val="1"/>
            <c:trendlineLbl>
              <c:layout>
                <c:manualLayout>
                  <c:x val="-0.5616089691374786"/>
                  <c:y val="-0.3226136018711948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 b="1">
                      <a:solidFill>
                        <a:srgbClr val="7030A0"/>
                      </a:solidFill>
                    </a:defRPr>
                  </a:pPr>
                  <a:endParaRPr lang="nl-NL"/>
                </a:p>
              </c:txPr>
            </c:trendlineLbl>
          </c:trendline>
          <c:trendline>
            <c:spPr>
              <a:ln w="22225">
                <a:solidFill>
                  <a:srgbClr val="FF0000"/>
                </a:solidFill>
              </a:ln>
            </c:spPr>
            <c:trendlineType val="poly"/>
            <c:order val="2"/>
            <c:intercept val="0"/>
            <c:dispEq val="1"/>
            <c:trendlineLbl>
              <c:layout>
                <c:manualLayout>
                  <c:x val="-0.40058981678385286"/>
                  <c:y val="-0.1293735607259126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 b="1">
                      <a:solidFill>
                        <a:srgbClr val="FF0000"/>
                      </a:solidFill>
                    </a:defRPr>
                  </a:pPr>
                  <a:endParaRPr lang="nl-NL"/>
                </a:p>
              </c:txPr>
            </c:trendlineLbl>
          </c:trendline>
          <c:xVal>
            <c:numRef>
              <c:f>LM!$A$65:$A$70</c:f>
              <c:numCache>
                <c:formatCode>General</c:formatCode>
                <c:ptCount val="6"/>
                <c:pt idx="0">
                  <c:v>-16</c:v>
                </c:pt>
                <c:pt idx="1">
                  <c:v>-14</c:v>
                </c:pt>
                <c:pt idx="2">
                  <c:v>-6</c:v>
                </c:pt>
                <c:pt idx="3">
                  <c:v>4</c:v>
                </c:pt>
                <c:pt idx="4">
                  <c:v>10</c:v>
                </c:pt>
                <c:pt idx="5">
                  <c:v>12</c:v>
                </c:pt>
              </c:numCache>
            </c:numRef>
          </c:xVal>
          <c:yVal>
            <c:numRef>
              <c:f>LM!$B$65:$B$70</c:f>
              <c:numCache>
                <c:formatCode>General</c:formatCode>
                <c:ptCount val="6"/>
                <c:pt idx="0">
                  <c:v>70</c:v>
                </c:pt>
                <c:pt idx="1">
                  <c:v>30</c:v>
                </c:pt>
                <c:pt idx="2">
                  <c:v>-5</c:v>
                </c:pt>
                <c:pt idx="3">
                  <c:v>19</c:v>
                </c:pt>
                <c:pt idx="4">
                  <c:v>75</c:v>
                </c:pt>
                <c:pt idx="5">
                  <c:v>127</c:v>
                </c:pt>
              </c:numCache>
            </c:numRef>
          </c:yVal>
        </c:ser>
        <c:axId val="141856128"/>
        <c:axId val="141882496"/>
      </c:scatterChart>
      <c:valAx>
        <c:axId val="141856128"/>
        <c:scaling>
          <c:orientation val="minMax"/>
        </c:scaling>
        <c:axPos val="b"/>
        <c:numFmt formatCode="General" sourceLinked="1"/>
        <c:tickLblPos val="nextTo"/>
        <c:crossAx val="141882496"/>
        <c:crosses val="autoZero"/>
        <c:crossBetween val="midCat"/>
      </c:valAx>
      <c:valAx>
        <c:axId val="141882496"/>
        <c:scaling>
          <c:orientation val="minMax"/>
          <c:max val="180"/>
        </c:scaling>
        <c:axPos val="l"/>
        <c:majorGridlines/>
        <c:numFmt formatCode="General" sourceLinked="1"/>
        <c:tickLblPos val="nextTo"/>
        <c:crossAx val="141856128"/>
        <c:crosses val="autoZero"/>
        <c:crossBetween val="midCat"/>
      </c:valAx>
    </c:plotArea>
    <c:plotVisOnly val="1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scatterChart>
        <c:scatterStyle val="lineMarker"/>
        <c:ser>
          <c:idx val="0"/>
          <c:order val="0"/>
          <c:tx>
            <c:strRef>
              <c:f>'ITE FV'!$B$14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-0.19487528847626501"/>
                  <c:y val="2.6587614048244002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/>
                  </a:pPr>
                  <a:endParaRPr lang="nl-NL"/>
                </a:p>
              </c:txPr>
            </c:trendlineLbl>
          </c:trendline>
          <c:trendline>
            <c:trendlineType val="linear"/>
            <c:intercept val="0"/>
            <c:dispEq val="1"/>
            <c:trendlineLbl>
              <c:layout>
                <c:manualLayout>
                  <c:x val="-0.16533806513622487"/>
                  <c:y val="0.4574521934758166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/>
                  </a:pPr>
                  <a:endParaRPr lang="nl-NL"/>
                </a:p>
              </c:txPr>
            </c:trendlineLbl>
          </c:trendline>
          <c:xVal>
            <c:numRef>
              <c:f>'ITE FV'!$A$16:$A$25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'ITE FV'!$B$16:$B$25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7</c:v>
                </c:pt>
                <c:pt idx="4">
                  <c:v>4</c:v>
                </c:pt>
                <c:pt idx="5">
                  <c:v>8</c:v>
                </c:pt>
                <c:pt idx="6">
                  <c:v>5</c:v>
                </c:pt>
                <c:pt idx="7">
                  <c:v>7</c:v>
                </c:pt>
                <c:pt idx="8">
                  <c:v>11</c:v>
                </c:pt>
                <c:pt idx="9">
                  <c:v>9</c:v>
                </c:pt>
              </c:numCache>
            </c:numRef>
          </c:yVal>
        </c:ser>
        <c:ser>
          <c:idx val="4"/>
          <c:order val="1"/>
          <c:tx>
            <c:strRef>
              <c:f>'ITE FV'!$F$14</c:f>
              <c:strCache>
                <c:ptCount val="1"/>
                <c:pt idx="0">
                  <c:v>VERSCHIL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</c:marker>
          <c:trendline>
            <c:trendlineType val="linear"/>
            <c:dispEq val="1"/>
            <c:trendlineLbl>
              <c:layout>
                <c:manualLayout>
                  <c:x val="0.2425091229793459"/>
                  <c:y val="5.4269153855768033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/>
                  </a:pPr>
                  <a:endParaRPr lang="nl-NL"/>
                </a:p>
              </c:txPr>
            </c:trendlineLbl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xVal>
            <c:numRef>
              <c:f>'ITE FV'!$A$16:$A$25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'ITE FV'!$F$16:$F$25</c:f>
              <c:numCache>
                <c:formatCode>General</c:formatCode>
                <c:ptCount val="10"/>
                <c:pt idx="0">
                  <c:v>-2.242</c:v>
                </c:pt>
                <c:pt idx="1">
                  <c:v>-0.48399999999999999</c:v>
                </c:pt>
                <c:pt idx="2">
                  <c:v>-2.726</c:v>
                </c:pt>
                <c:pt idx="3">
                  <c:v>-3.968</c:v>
                </c:pt>
                <c:pt idx="4">
                  <c:v>-0.20999999999999996</c:v>
                </c:pt>
                <c:pt idx="5">
                  <c:v>-3.452</c:v>
                </c:pt>
                <c:pt idx="6">
                  <c:v>0.30600000000000005</c:v>
                </c:pt>
                <c:pt idx="7">
                  <c:v>-0.93599999999999994</c:v>
                </c:pt>
                <c:pt idx="8">
                  <c:v>-4.1779999999999999</c:v>
                </c:pt>
                <c:pt idx="9">
                  <c:v>-1.42</c:v>
                </c:pt>
              </c:numCache>
            </c:numRef>
          </c:yVal>
        </c:ser>
        <c:ser>
          <c:idx val="8"/>
          <c:order val="2"/>
          <c:tx>
            <c:strRef>
              <c:f>'ITE FV'!$J$14</c:f>
              <c:strCache>
                <c:ptCount val="1"/>
                <c:pt idx="0">
                  <c:v>FUNCTIE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'ITE FV'!$A$16:$A$25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'ITE FV'!$J$16:$J$25</c:f>
              <c:numCache>
                <c:formatCode>General</c:formatCode>
                <c:ptCount val="10"/>
                <c:pt idx="0">
                  <c:v>2.6879999999999997</c:v>
                </c:pt>
                <c:pt idx="1">
                  <c:v>3.4459999999999997</c:v>
                </c:pt>
                <c:pt idx="2">
                  <c:v>4.2039999999999997</c:v>
                </c:pt>
                <c:pt idx="3">
                  <c:v>4.9619999999999997</c:v>
                </c:pt>
                <c:pt idx="4">
                  <c:v>5.72</c:v>
                </c:pt>
                <c:pt idx="5">
                  <c:v>6.4779999999999998</c:v>
                </c:pt>
                <c:pt idx="6">
                  <c:v>7.2359999999999998</c:v>
                </c:pt>
                <c:pt idx="7">
                  <c:v>7.9939999999999998</c:v>
                </c:pt>
                <c:pt idx="8">
                  <c:v>8.7520000000000007</c:v>
                </c:pt>
                <c:pt idx="9">
                  <c:v>9.51</c:v>
                </c:pt>
              </c:numCache>
            </c:numRef>
          </c:yVal>
        </c:ser>
        <c:axId val="141998336"/>
        <c:axId val="142020608"/>
      </c:scatterChart>
      <c:valAx>
        <c:axId val="141998336"/>
        <c:scaling>
          <c:orientation val="minMax"/>
        </c:scaling>
        <c:axPos val="b"/>
        <c:numFmt formatCode="General" sourceLinked="1"/>
        <c:tickLblPos val="nextTo"/>
        <c:crossAx val="142020608"/>
        <c:crosses val="autoZero"/>
        <c:crossBetween val="midCat"/>
      </c:valAx>
      <c:valAx>
        <c:axId val="142020608"/>
        <c:scaling>
          <c:orientation val="minMax"/>
        </c:scaling>
        <c:axPos val="l"/>
        <c:majorGridlines/>
        <c:numFmt formatCode="General" sourceLinked="1"/>
        <c:tickLblPos val="nextTo"/>
        <c:crossAx val="141998336"/>
        <c:crosses val="autoZero"/>
        <c:crossBetween val="midCat"/>
      </c:valAx>
    </c:plotArea>
    <c:legend>
      <c:legendPos val="r"/>
      <c:legendEntry>
        <c:idx val="3"/>
        <c:txPr>
          <a:bodyPr/>
          <a:lstStyle/>
          <a:p>
            <a:pPr>
              <a:defRPr b="1"/>
            </a:pPr>
            <a:endParaRPr lang="nl-NL"/>
          </a:p>
        </c:txPr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txPr>
          <a:bodyPr/>
          <a:lstStyle/>
          <a:p>
            <a:pPr>
              <a:defRPr b="1"/>
            </a:pPr>
            <a:endParaRPr lang="nl-NL"/>
          </a:p>
        </c:txPr>
      </c:legendEntry>
      <c:legendEntry>
        <c:idx val="8"/>
        <c:delete val="1"/>
      </c:legendEntry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scatterChart>
        <c:scatterStyle val="lineMarker"/>
        <c:ser>
          <c:idx val="0"/>
          <c:order val="0"/>
          <c:marker>
            <c:symbol val="square"/>
            <c:size val="6"/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7"/>
            <c:marker>
              <c:symbol val="none"/>
            </c:marker>
          </c:dPt>
          <c:xVal>
            <c:numRef>
              <c:f>FVP!$U$3:$AB$3</c:f>
              <c:numCache>
                <c:formatCode>General</c:formatCode>
                <c:ptCount val="8"/>
                <c:pt idx="0">
                  <c:v>-10</c:v>
                </c:pt>
                <c:pt idx="1">
                  <c:v>-8</c:v>
                </c:pt>
                <c:pt idx="2">
                  <c:v>-5</c:v>
                </c:pt>
                <c:pt idx="3">
                  <c:v>-2</c:v>
                </c:pt>
                <c:pt idx="4">
                  <c:v>1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</c:numCache>
            </c:numRef>
          </c:xVal>
          <c:yVal>
            <c:numRef>
              <c:f>FVP!$U$4:$AB$4</c:f>
              <c:numCache>
                <c:formatCode>General</c:formatCode>
                <c:ptCount val="8"/>
                <c:pt idx="0">
                  <c:v>-8.5</c:v>
                </c:pt>
                <c:pt idx="1">
                  <c:v>-6.5</c:v>
                </c:pt>
                <c:pt idx="2">
                  <c:v>-3.5</c:v>
                </c:pt>
                <c:pt idx="3">
                  <c:v>-0.5</c:v>
                </c:pt>
                <c:pt idx="4">
                  <c:v>2.5</c:v>
                </c:pt>
                <c:pt idx="5">
                  <c:v>6.5</c:v>
                </c:pt>
                <c:pt idx="6">
                  <c:v>8.5</c:v>
                </c:pt>
                <c:pt idx="7">
                  <c:v>11.5</c:v>
                </c:pt>
              </c:numCache>
            </c:numRef>
          </c:yVal>
        </c:ser>
        <c:ser>
          <c:idx val="1"/>
          <c:order val="1"/>
          <c:marker>
            <c:symbol val="none"/>
          </c:marker>
          <c:xVal>
            <c:numRef>
              <c:f>FVP!$U$3:$AB$3</c:f>
              <c:numCache>
                <c:formatCode>General</c:formatCode>
                <c:ptCount val="8"/>
                <c:pt idx="0">
                  <c:v>-10</c:v>
                </c:pt>
                <c:pt idx="1">
                  <c:v>-8</c:v>
                </c:pt>
                <c:pt idx="2">
                  <c:v>-5</c:v>
                </c:pt>
                <c:pt idx="3">
                  <c:v>-2</c:v>
                </c:pt>
                <c:pt idx="4">
                  <c:v>1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</c:numCache>
            </c:numRef>
          </c:xVal>
          <c:yVal>
            <c:numRef>
              <c:f>FVP!$U$5:$AB$5</c:f>
              <c:numCache>
                <c:formatCode>General</c:formatCode>
                <c:ptCount val="8"/>
              </c:numCache>
            </c:numRef>
          </c:yVal>
        </c:ser>
        <c:ser>
          <c:idx val="2"/>
          <c:order val="2"/>
          <c:spPr>
            <a:ln>
              <a:solidFill>
                <a:srgbClr val="FF00FF"/>
              </a:solidFill>
            </a:ln>
          </c:spPr>
          <c:marker>
            <c:symbol val="diamond"/>
            <c:size val="9"/>
            <c:spPr>
              <a:solidFill>
                <a:srgbClr val="FF00FF"/>
              </a:solidFill>
              <a:ln>
                <a:noFill/>
              </a:ln>
            </c:spPr>
          </c:marker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xVal>
            <c:numRef>
              <c:f>FVP!$U$3:$AB$3</c:f>
              <c:numCache>
                <c:formatCode>General</c:formatCode>
                <c:ptCount val="8"/>
                <c:pt idx="0">
                  <c:v>-10</c:v>
                </c:pt>
                <c:pt idx="1">
                  <c:v>-8</c:v>
                </c:pt>
                <c:pt idx="2">
                  <c:v>-5</c:v>
                </c:pt>
                <c:pt idx="3">
                  <c:v>-2</c:v>
                </c:pt>
                <c:pt idx="4">
                  <c:v>1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</c:numCache>
            </c:numRef>
          </c:xVal>
          <c:yVal>
            <c:numRef>
              <c:f>FVP!$U$6:$AB$6</c:f>
              <c:numCache>
                <c:formatCode>General</c:formatCode>
                <c:ptCount val="8"/>
                <c:pt idx="0">
                  <c:v>-5</c:v>
                </c:pt>
                <c:pt idx="1">
                  <c:v>-2.5999999999999996</c:v>
                </c:pt>
                <c:pt idx="2">
                  <c:v>1</c:v>
                </c:pt>
                <c:pt idx="3">
                  <c:v>4.5999999999999996</c:v>
                </c:pt>
                <c:pt idx="4">
                  <c:v>8.1999999999999993</c:v>
                </c:pt>
                <c:pt idx="5">
                  <c:v>13</c:v>
                </c:pt>
                <c:pt idx="6">
                  <c:v>15.4</c:v>
                </c:pt>
                <c:pt idx="7">
                  <c:v>19</c:v>
                </c:pt>
              </c:numCache>
            </c:numRef>
          </c:yVal>
        </c:ser>
        <c:ser>
          <c:idx val="4"/>
          <c:order val="3"/>
          <c:spPr>
            <a:ln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trendline>
            <c:spPr>
              <a:ln w="28575">
                <a:solidFill>
                  <a:srgbClr val="FF0000"/>
                </a:solidFill>
              </a:ln>
            </c:spPr>
            <c:trendlineType val="linear"/>
            <c:dispEq val="1"/>
            <c:trendlineLbl>
              <c:layout>
                <c:manualLayout>
                  <c:x val="-8.6965441819772546E-2"/>
                  <c:y val="0.4370807815689731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 b="1">
                      <a:solidFill>
                        <a:srgbClr val="FF0000"/>
                      </a:solidFill>
                    </a:defRPr>
                  </a:pPr>
                  <a:endParaRPr lang="nl-NL"/>
                </a:p>
              </c:txPr>
            </c:trendlineLbl>
          </c:trendline>
          <c:xVal>
            <c:numRef>
              <c:f>FVP!$U$3:$AB$3</c:f>
              <c:numCache>
                <c:formatCode>General</c:formatCode>
                <c:ptCount val="8"/>
                <c:pt idx="0">
                  <c:v>-10</c:v>
                </c:pt>
                <c:pt idx="1">
                  <c:v>-8</c:v>
                </c:pt>
                <c:pt idx="2">
                  <c:v>-5</c:v>
                </c:pt>
                <c:pt idx="3">
                  <c:v>-2</c:v>
                </c:pt>
                <c:pt idx="4">
                  <c:v>1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</c:numCache>
            </c:numRef>
          </c:xVal>
          <c:yVal>
            <c:numRef>
              <c:f>FVP!$U$8:$AB$8</c:f>
              <c:numCache>
                <c:formatCode>General</c:formatCode>
                <c:ptCount val="8"/>
                <c:pt idx="0">
                  <c:v>-9.5</c:v>
                </c:pt>
                <c:pt idx="1">
                  <c:v>-11</c:v>
                </c:pt>
                <c:pt idx="2">
                  <c:v>-9</c:v>
                </c:pt>
                <c:pt idx="3">
                  <c:v>-4.5</c:v>
                </c:pt>
                <c:pt idx="4">
                  <c:v>-5</c:v>
                </c:pt>
                <c:pt idx="5">
                  <c:v>1</c:v>
                </c:pt>
                <c:pt idx="6">
                  <c:v>-0.5</c:v>
                </c:pt>
                <c:pt idx="7">
                  <c:v>3.5</c:v>
                </c:pt>
              </c:numCache>
            </c:numRef>
          </c:yVal>
        </c:ser>
        <c:axId val="137629056"/>
        <c:axId val="137639040"/>
      </c:scatterChart>
      <c:valAx>
        <c:axId val="137629056"/>
        <c:scaling>
          <c:orientation val="minMax"/>
          <c:max val="10"/>
          <c:min val="-10"/>
        </c:scaling>
        <c:axPos val="b"/>
        <c:numFmt formatCode="General" sourceLinked="1"/>
        <c:tickLblPos val="nextTo"/>
        <c:crossAx val="137639040"/>
        <c:crosses val="autoZero"/>
        <c:crossBetween val="midCat"/>
        <c:majorUnit val="1"/>
      </c:valAx>
      <c:valAx>
        <c:axId val="137639040"/>
        <c:scaling>
          <c:orientation val="minMax"/>
          <c:max val="10"/>
          <c:min val="-10"/>
        </c:scaling>
        <c:axPos val="l"/>
        <c:majorGridlines/>
        <c:numFmt formatCode="General" sourceLinked="1"/>
        <c:tickLblPos val="nextTo"/>
        <c:crossAx val="137629056"/>
        <c:crosses val="autoZero"/>
        <c:crossBetween val="midCat"/>
      </c:valAx>
    </c:plotArea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autoTitleDeleted val="1"/>
    <c:plotArea>
      <c:layout>
        <c:manualLayout>
          <c:layoutTarget val="inner"/>
          <c:xMode val="edge"/>
          <c:yMode val="edge"/>
          <c:x val="5.7096512570965118E-2"/>
          <c:y val="0.11201217389179705"/>
          <c:w val="0.89077865266842227"/>
          <c:h val="0.84870289717856828"/>
        </c:manualLayout>
      </c:layout>
      <c:scatterChart>
        <c:scatterStyle val="lineMarker"/>
        <c:ser>
          <c:idx val="1"/>
          <c:order val="1"/>
          <c:tx>
            <c:strRef>
              <c:f>LM!$B$64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xVal>
            <c:numRef>
              <c:f>LM!$A$65:$A$70</c:f>
              <c:numCache>
                <c:formatCode>General</c:formatCode>
                <c:ptCount val="6"/>
                <c:pt idx="0">
                  <c:v>-16</c:v>
                </c:pt>
                <c:pt idx="1">
                  <c:v>-14</c:v>
                </c:pt>
                <c:pt idx="2">
                  <c:v>-6</c:v>
                </c:pt>
                <c:pt idx="3">
                  <c:v>4</c:v>
                </c:pt>
                <c:pt idx="4">
                  <c:v>10</c:v>
                </c:pt>
                <c:pt idx="5">
                  <c:v>12</c:v>
                </c:pt>
              </c:numCache>
            </c:numRef>
          </c:xVal>
          <c:yVal>
            <c:numRef>
              <c:f>LM!$B$65:$B$70</c:f>
              <c:numCache>
                <c:formatCode>General</c:formatCode>
                <c:ptCount val="6"/>
                <c:pt idx="0">
                  <c:v>70</c:v>
                </c:pt>
                <c:pt idx="1">
                  <c:v>30</c:v>
                </c:pt>
                <c:pt idx="2">
                  <c:v>-5</c:v>
                </c:pt>
                <c:pt idx="3">
                  <c:v>19</c:v>
                </c:pt>
                <c:pt idx="4">
                  <c:v>75</c:v>
                </c:pt>
                <c:pt idx="5">
                  <c:v>127</c:v>
                </c:pt>
              </c:numCache>
            </c:numRef>
          </c:yVal>
        </c:ser>
        <c:ser>
          <c:idx val="0"/>
          <c:order val="0"/>
          <c:tx>
            <c:strRef>
              <c:f>LM!$B$64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</c:marker>
          <c:trendline>
            <c:spPr>
              <a:ln w="25400">
                <a:solidFill>
                  <a:srgbClr val="FF00FF"/>
                </a:solidFill>
              </a:ln>
            </c:spPr>
            <c:trendlineType val="poly"/>
            <c:order val="6"/>
            <c:dispEq val="1"/>
            <c:trendlineLbl>
              <c:layout>
                <c:manualLayout>
                  <c:x val="0.12327656123276562"/>
                  <c:y val="-0.2356824678854814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 b="1">
                      <a:solidFill>
                        <a:srgbClr val="FF00FF"/>
                      </a:solidFill>
                    </a:defRPr>
                  </a:pPr>
                  <a:endParaRPr lang="nl-NL"/>
                </a:p>
              </c:txPr>
            </c:trendlineLbl>
          </c:trendline>
          <c:trendline>
            <c:spPr>
              <a:ln w="19050">
                <a:solidFill>
                  <a:srgbClr val="7030A0"/>
                </a:solidFill>
              </a:ln>
            </c:spPr>
            <c:trendlineType val="linear"/>
          </c:trendline>
          <c:trendline>
            <c:spPr>
              <a:ln w="22225">
                <a:solidFill>
                  <a:srgbClr val="FF0000"/>
                </a:solidFill>
              </a:ln>
            </c:spPr>
            <c:trendlineType val="poly"/>
            <c:order val="2"/>
            <c:dispEq val="1"/>
            <c:trendlineLbl>
              <c:layout>
                <c:manualLayout>
                  <c:x val="0.14283247440785229"/>
                  <c:y val="0.5475139880643290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 b="1">
                      <a:solidFill>
                        <a:srgbClr val="FF0000"/>
                      </a:solidFill>
                    </a:defRPr>
                  </a:pPr>
                  <a:endParaRPr lang="nl-NL"/>
                </a:p>
              </c:txPr>
            </c:trendlineLbl>
          </c:trendline>
          <c:trendline>
            <c:trendlineType val="linear"/>
            <c:dispEq val="1"/>
            <c:trendlineLbl>
              <c:layout>
                <c:manualLayout>
                  <c:x val="-0.33887056088792211"/>
                  <c:y val="4.4731646010347806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 b="1">
                      <a:solidFill>
                        <a:srgbClr val="7030A0"/>
                      </a:solidFill>
                    </a:defRPr>
                  </a:pPr>
                  <a:endParaRPr lang="nl-NL"/>
                </a:p>
              </c:txPr>
            </c:trendlineLbl>
          </c:trendline>
          <c:xVal>
            <c:numRef>
              <c:f>LM!$A$65:$A$70</c:f>
              <c:numCache>
                <c:formatCode>General</c:formatCode>
                <c:ptCount val="6"/>
                <c:pt idx="0">
                  <c:v>-16</c:v>
                </c:pt>
                <c:pt idx="1">
                  <c:v>-14</c:v>
                </c:pt>
                <c:pt idx="2">
                  <c:v>-6</c:v>
                </c:pt>
                <c:pt idx="3">
                  <c:v>4</c:v>
                </c:pt>
                <c:pt idx="4">
                  <c:v>10</c:v>
                </c:pt>
                <c:pt idx="5">
                  <c:v>12</c:v>
                </c:pt>
              </c:numCache>
            </c:numRef>
          </c:xVal>
          <c:yVal>
            <c:numRef>
              <c:f>LM!$B$65:$B$70</c:f>
              <c:numCache>
                <c:formatCode>General</c:formatCode>
                <c:ptCount val="6"/>
                <c:pt idx="0">
                  <c:v>70</c:v>
                </c:pt>
                <c:pt idx="1">
                  <c:v>30</c:v>
                </c:pt>
                <c:pt idx="2">
                  <c:v>-5</c:v>
                </c:pt>
                <c:pt idx="3">
                  <c:v>19</c:v>
                </c:pt>
                <c:pt idx="4">
                  <c:v>75</c:v>
                </c:pt>
                <c:pt idx="5">
                  <c:v>127</c:v>
                </c:pt>
              </c:numCache>
            </c:numRef>
          </c:yVal>
        </c:ser>
        <c:axId val="137884416"/>
        <c:axId val="137885952"/>
      </c:scatterChart>
      <c:valAx>
        <c:axId val="137884416"/>
        <c:scaling>
          <c:orientation val="minMax"/>
        </c:scaling>
        <c:axPos val="b"/>
        <c:numFmt formatCode="General" sourceLinked="1"/>
        <c:tickLblPos val="nextTo"/>
        <c:crossAx val="137885952"/>
        <c:crosses val="autoZero"/>
        <c:crossBetween val="midCat"/>
      </c:valAx>
      <c:valAx>
        <c:axId val="137885952"/>
        <c:scaling>
          <c:orientation val="minMax"/>
          <c:max val="180"/>
        </c:scaling>
        <c:axPos val="l"/>
        <c:majorGridlines/>
        <c:numFmt formatCode="General" sourceLinked="1"/>
        <c:tickLblPos val="nextTo"/>
        <c:crossAx val="137884416"/>
        <c:crosses val="autoZero"/>
        <c:crossBetween val="midCat"/>
      </c:valAx>
    </c:plotArea>
    <c:plotVisOnly val="1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en-US"/>
              <a:t>log y(x) = log</a:t>
            </a:r>
            <a:r>
              <a:rPr lang="en-US" baseline="0"/>
              <a:t> (</a:t>
            </a:r>
            <a:r>
              <a:rPr lang="en-US"/>
              <a:t>a b</a:t>
            </a:r>
            <a:r>
              <a:rPr lang="en-US" sz="2400" baseline="30000"/>
              <a:t>x</a:t>
            </a:r>
            <a:r>
              <a:rPr lang="en-US"/>
              <a:t>)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marker>
            <c:symbol val="none"/>
          </c:marker>
          <c:trendline>
            <c:trendlineType val="linear"/>
            <c:dispEq val="1"/>
            <c:trendlineLbl>
              <c:layout>
                <c:manualLayout>
                  <c:x val="-0.64315288713910912"/>
                  <c:y val="-0.3952081510644517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chemeClr val="tx2"/>
                      </a:solidFill>
                    </a:defRPr>
                  </a:pPr>
                  <a:endParaRPr lang="nl-NL"/>
                </a:p>
              </c:txPr>
            </c:trendlineLbl>
          </c:trendline>
          <c:xVal>
            <c:numRef>
              <c:f>LOG!$AC$16:$AC$64</c:f>
              <c:numCache>
                <c:formatCode>General</c:formatCode>
                <c:ptCount val="49"/>
                <c:pt idx="0">
                  <c:v>-20</c:v>
                </c:pt>
                <c:pt idx="1">
                  <c:v>-19</c:v>
                </c:pt>
                <c:pt idx="2">
                  <c:v>-18</c:v>
                </c:pt>
                <c:pt idx="3">
                  <c:v>-17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-10</c:v>
                </c:pt>
                <c:pt idx="11">
                  <c:v>-9</c:v>
                </c:pt>
                <c:pt idx="12">
                  <c:v>-8</c:v>
                </c:pt>
                <c:pt idx="13">
                  <c:v>-7</c:v>
                </c:pt>
                <c:pt idx="14">
                  <c:v>-6</c:v>
                </c:pt>
                <c:pt idx="15">
                  <c:v>-5</c:v>
                </c:pt>
                <c:pt idx="16">
                  <c:v>-4</c:v>
                </c:pt>
                <c:pt idx="17">
                  <c:v>-3</c:v>
                </c:pt>
                <c:pt idx="18">
                  <c:v>-2</c:v>
                </c:pt>
                <c:pt idx="19">
                  <c:v>-1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</c:numCache>
            </c:numRef>
          </c:xVal>
          <c:yVal>
            <c:numRef>
              <c:f>LOG!$AD$16:$AD$64</c:f>
              <c:numCache>
                <c:formatCode>General</c:formatCode>
                <c:ptCount val="49"/>
                <c:pt idx="0">
                  <c:v>14.280430082384356</c:v>
                </c:pt>
                <c:pt idx="1">
                  <c:v>13.581460078048337</c:v>
                </c:pt>
                <c:pt idx="2">
                  <c:v>12.882490073712319</c:v>
                </c:pt>
                <c:pt idx="3">
                  <c:v>12.1835200693763</c:v>
                </c:pt>
                <c:pt idx="4">
                  <c:v>11.484550065040281</c:v>
                </c:pt>
                <c:pt idx="5">
                  <c:v>10.785580060704262</c:v>
                </c:pt>
                <c:pt idx="6">
                  <c:v>10.086610056368244</c:v>
                </c:pt>
                <c:pt idx="7">
                  <c:v>9.387640052032225</c:v>
                </c:pt>
                <c:pt idx="8">
                  <c:v>8.6886700476962062</c:v>
                </c:pt>
                <c:pt idx="9">
                  <c:v>7.9897000433601875</c:v>
                </c:pt>
                <c:pt idx="10">
                  <c:v>7.2907300390241687</c:v>
                </c:pt>
                <c:pt idx="11">
                  <c:v>6.59176003468815</c:v>
                </c:pt>
                <c:pt idx="12">
                  <c:v>5.8927900303521312</c:v>
                </c:pt>
                <c:pt idx="13">
                  <c:v>5.1938200260161125</c:v>
                </c:pt>
                <c:pt idx="14">
                  <c:v>4.4948500216800937</c:v>
                </c:pt>
                <c:pt idx="15">
                  <c:v>3.795880017344075</c:v>
                </c:pt>
                <c:pt idx="16">
                  <c:v>3.0969100130080562</c:v>
                </c:pt>
                <c:pt idx="17">
                  <c:v>2.3979400086720375</c:v>
                </c:pt>
                <c:pt idx="18">
                  <c:v>1.6989700043360187</c:v>
                </c:pt>
                <c:pt idx="19">
                  <c:v>1</c:v>
                </c:pt>
                <c:pt idx="20">
                  <c:v>0.3010299956639812</c:v>
                </c:pt>
                <c:pt idx="21">
                  <c:v>-0.3979400086720376</c:v>
                </c:pt>
                <c:pt idx="22">
                  <c:v>-1.0969100130080562</c:v>
                </c:pt>
                <c:pt idx="23">
                  <c:v>-1.7958800173440752</c:v>
                </c:pt>
                <c:pt idx="24">
                  <c:v>-2.4948500216800937</c:v>
                </c:pt>
                <c:pt idx="25">
                  <c:v>-3.1938200260161125</c:v>
                </c:pt>
                <c:pt idx="26">
                  <c:v>-3.8927900303521312</c:v>
                </c:pt>
                <c:pt idx="27">
                  <c:v>-4.59176003468815</c:v>
                </c:pt>
                <c:pt idx="28">
                  <c:v>-5.2907300390241687</c:v>
                </c:pt>
                <c:pt idx="29">
                  <c:v>-5.9897000433601875</c:v>
                </c:pt>
                <c:pt idx="30">
                  <c:v>-6.6886700476962062</c:v>
                </c:pt>
                <c:pt idx="31">
                  <c:v>-7.387640052032225</c:v>
                </c:pt>
                <c:pt idx="32">
                  <c:v>-8.0866100563682437</c:v>
                </c:pt>
                <c:pt idx="33">
                  <c:v>-8.7855800607042625</c:v>
                </c:pt>
                <c:pt idx="34">
                  <c:v>-9.4845500650402812</c:v>
                </c:pt>
                <c:pt idx="35">
                  <c:v>-10.1835200693763</c:v>
                </c:pt>
                <c:pt idx="36">
                  <c:v>-10.882490073712319</c:v>
                </c:pt>
                <c:pt idx="37">
                  <c:v>-11.581460078048337</c:v>
                </c:pt>
                <c:pt idx="38">
                  <c:v>-12.280430082384356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trendline>
            <c:trendlineType val="linear"/>
            <c:dispEq val="1"/>
            <c:trendlineLbl>
              <c:layout>
                <c:manualLayout>
                  <c:x val="-0.17904177602799692"/>
                  <c:y val="-2.9618328958880141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C00000"/>
                      </a:solidFill>
                    </a:defRPr>
                  </a:pPr>
                  <a:endParaRPr lang="nl-NL"/>
                </a:p>
              </c:txPr>
            </c:trendlineLbl>
          </c:trendline>
          <c:xVal>
            <c:numRef>
              <c:f>LOG!$AC$16:$AC$64</c:f>
              <c:numCache>
                <c:formatCode>General</c:formatCode>
                <c:ptCount val="49"/>
                <c:pt idx="0">
                  <c:v>-20</c:v>
                </c:pt>
                <c:pt idx="1">
                  <c:v>-19</c:v>
                </c:pt>
                <c:pt idx="2">
                  <c:v>-18</c:v>
                </c:pt>
                <c:pt idx="3">
                  <c:v>-17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-10</c:v>
                </c:pt>
                <c:pt idx="11">
                  <c:v>-9</c:v>
                </c:pt>
                <c:pt idx="12">
                  <c:v>-8</c:v>
                </c:pt>
                <c:pt idx="13">
                  <c:v>-7</c:v>
                </c:pt>
                <c:pt idx="14">
                  <c:v>-6</c:v>
                </c:pt>
                <c:pt idx="15">
                  <c:v>-5</c:v>
                </c:pt>
                <c:pt idx="16">
                  <c:v>-4</c:v>
                </c:pt>
                <c:pt idx="17">
                  <c:v>-3</c:v>
                </c:pt>
                <c:pt idx="18">
                  <c:v>-2</c:v>
                </c:pt>
                <c:pt idx="19">
                  <c:v>-1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</c:numCache>
            </c:numRef>
          </c:xVal>
          <c:yVal>
            <c:numRef>
              <c:f>LOG!$AE$16:$AE$64</c:f>
              <c:numCache>
                <c:formatCode>General</c:formatCode>
                <c:ptCount val="49"/>
                <c:pt idx="0">
                  <c:v>-14.483843761625248</c:v>
                </c:pt>
                <c:pt idx="1">
                  <c:v>-13.705692511241605</c:v>
                </c:pt>
                <c:pt idx="2">
                  <c:v>-12.927541260857961</c:v>
                </c:pt>
                <c:pt idx="3">
                  <c:v>-12.149390010474317</c:v>
                </c:pt>
                <c:pt idx="4">
                  <c:v>-11.371238760090673</c:v>
                </c:pt>
                <c:pt idx="5">
                  <c:v>-10.593087509707029</c:v>
                </c:pt>
                <c:pt idx="6">
                  <c:v>-9.8149362593233853</c:v>
                </c:pt>
                <c:pt idx="7">
                  <c:v>-9.0367850089397432</c:v>
                </c:pt>
                <c:pt idx="8">
                  <c:v>-8.2586337585560994</c:v>
                </c:pt>
                <c:pt idx="9">
                  <c:v>-7.4804825081724555</c:v>
                </c:pt>
                <c:pt idx="10">
                  <c:v>-6.7023312577888117</c:v>
                </c:pt>
                <c:pt idx="11">
                  <c:v>-5.9241800074051678</c:v>
                </c:pt>
                <c:pt idx="12">
                  <c:v>-5.146028757021524</c:v>
                </c:pt>
                <c:pt idx="13">
                  <c:v>-4.367877506637881</c:v>
                </c:pt>
                <c:pt idx="14">
                  <c:v>-3.5897262562542371</c:v>
                </c:pt>
                <c:pt idx="15">
                  <c:v>-2.8115750058705933</c:v>
                </c:pt>
                <c:pt idx="16">
                  <c:v>-2.0334237554869499</c:v>
                </c:pt>
                <c:pt idx="17">
                  <c:v>-1.255272505103306</c:v>
                </c:pt>
                <c:pt idx="18">
                  <c:v>-0.47712125471966244</c:v>
                </c:pt>
                <c:pt idx="19">
                  <c:v>0.3010299956639812</c:v>
                </c:pt>
                <c:pt idx="20">
                  <c:v>1.0791812460476249</c:v>
                </c:pt>
                <c:pt idx="21">
                  <c:v>1.8573324964312685</c:v>
                </c:pt>
                <c:pt idx="22">
                  <c:v>2.6354837468149119</c:v>
                </c:pt>
                <c:pt idx="23">
                  <c:v>3.4136349971985558</c:v>
                </c:pt>
                <c:pt idx="24">
                  <c:v>4.1917862475821996</c:v>
                </c:pt>
                <c:pt idx="25">
                  <c:v>4.9699374979658426</c:v>
                </c:pt>
                <c:pt idx="26">
                  <c:v>5.7480887483494865</c:v>
                </c:pt>
                <c:pt idx="27">
                  <c:v>6.5262399987331303</c:v>
                </c:pt>
                <c:pt idx="28">
                  <c:v>7.3043912491167742</c:v>
                </c:pt>
                <c:pt idx="29">
                  <c:v>8.082542499500418</c:v>
                </c:pt>
                <c:pt idx="30">
                  <c:v>8.8606937498840619</c:v>
                </c:pt>
                <c:pt idx="31">
                  <c:v>9.638845000267704</c:v>
                </c:pt>
                <c:pt idx="32">
                  <c:v>10.416996250651348</c:v>
                </c:pt>
                <c:pt idx="33">
                  <c:v>11.195147501034992</c:v>
                </c:pt>
                <c:pt idx="34">
                  <c:v>11.973298751418636</c:v>
                </c:pt>
                <c:pt idx="35">
                  <c:v>12.751450001802279</c:v>
                </c:pt>
                <c:pt idx="36">
                  <c:v>13.529601252185923</c:v>
                </c:pt>
                <c:pt idx="37">
                  <c:v>14.307752502569567</c:v>
                </c:pt>
                <c:pt idx="38">
                  <c:v>15.085903752953211</c:v>
                </c:pt>
              </c:numCache>
            </c:numRef>
          </c:yVal>
          <c:smooth val="1"/>
        </c:ser>
        <c:axId val="137078656"/>
        <c:axId val="137756672"/>
      </c:scatterChart>
      <c:valAx>
        <c:axId val="137078656"/>
        <c:scaling>
          <c:orientation val="minMax"/>
          <c:max val="10"/>
          <c:min val="-10"/>
        </c:scaling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nl-NL" sz="1100"/>
                  <a:t>X</a:t>
                </a:r>
              </a:p>
            </c:rich>
          </c:tx>
          <c:layout>
            <c:manualLayout>
              <c:xMode val="edge"/>
              <c:yMode val="edge"/>
              <c:x val="0.90521172353455814"/>
              <c:y val="0.56386555847185771"/>
            </c:manualLayout>
          </c:layout>
        </c:title>
        <c:numFmt formatCode="General" sourceLinked="1"/>
        <c:tickLblPos val="nextTo"/>
        <c:crossAx val="137756672"/>
        <c:crosses val="autoZero"/>
        <c:crossBetween val="midCat"/>
      </c:valAx>
      <c:valAx>
        <c:axId val="137756672"/>
        <c:scaling>
          <c:orientation val="minMax"/>
          <c:max val="8"/>
          <c:min val="-8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nl-NL" sz="1200"/>
                  <a:t>log(Y)</a:t>
                </a:r>
              </a:p>
            </c:rich>
          </c:tx>
          <c:layout>
            <c:manualLayout>
              <c:xMode val="edge"/>
              <c:yMode val="edge"/>
              <c:x val="0.40833333333333333"/>
              <c:y val="0.21916083406241044"/>
            </c:manualLayout>
          </c:layout>
        </c:title>
        <c:numFmt formatCode="General" sourceLinked="1"/>
        <c:tickLblPos val="nextTo"/>
        <c:crossAx val="137078656"/>
        <c:crosses val="autoZero"/>
        <c:crossBetween val="midCat"/>
      </c:valAx>
    </c:plotArea>
    <c:plotVisOnly val="1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en-US"/>
              <a:t>y(x) = log</a:t>
            </a:r>
            <a:r>
              <a:rPr lang="en-US" baseline="0"/>
              <a:t> (</a:t>
            </a:r>
            <a:r>
              <a:rPr lang="en-US"/>
              <a:t>a b</a:t>
            </a:r>
            <a:r>
              <a:rPr lang="en-US" sz="2400" baseline="30000"/>
              <a:t>x</a:t>
            </a:r>
            <a:r>
              <a:rPr lang="en-US"/>
              <a:t>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34306649168858"/>
          <c:y val="0.15924795858851101"/>
          <c:w val="0.85193744531933513"/>
          <c:h val="0.71376130067074961"/>
        </c:manualLayout>
      </c:layout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LOG!$AC$16:$AC$64</c:f>
              <c:numCache>
                <c:formatCode>General</c:formatCode>
                <c:ptCount val="49"/>
                <c:pt idx="0">
                  <c:v>-20</c:v>
                </c:pt>
                <c:pt idx="1">
                  <c:v>-19</c:v>
                </c:pt>
                <c:pt idx="2">
                  <c:v>-18</c:v>
                </c:pt>
                <c:pt idx="3">
                  <c:v>-17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-10</c:v>
                </c:pt>
                <c:pt idx="11">
                  <c:v>-9</c:v>
                </c:pt>
                <c:pt idx="12">
                  <c:v>-8</c:v>
                </c:pt>
                <c:pt idx="13">
                  <c:v>-7</c:v>
                </c:pt>
                <c:pt idx="14">
                  <c:v>-6</c:v>
                </c:pt>
                <c:pt idx="15">
                  <c:v>-5</c:v>
                </c:pt>
                <c:pt idx="16">
                  <c:v>-4</c:v>
                </c:pt>
                <c:pt idx="17">
                  <c:v>-3</c:v>
                </c:pt>
                <c:pt idx="18">
                  <c:v>-2</c:v>
                </c:pt>
                <c:pt idx="19">
                  <c:v>-1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</c:numCache>
            </c:numRef>
          </c:xVal>
          <c:yVal>
            <c:numRef>
              <c:f>LOG!$AF$16:$AF$64</c:f>
              <c:numCache>
                <c:formatCode>General</c:formatCode>
                <c:ptCount val="49"/>
                <c:pt idx="0">
                  <c:v>190734863281249.59</c:v>
                </c:pt>
                <c:pt idx="1">
                  <c:v>38146972656249.93</c:v>
                </c:pt>
                <c:pt idx="2">
                  <c:v>7629394531249.9863</c:v>
                </c:pt>
                <c:pt idx="3">
                  <c:v>1525878906249.9973</c:v>
                </c:pt>
                <c:pt idx="4">
                  <c:v>305175781249.99945</c:v>
                </c:pt>
                <c:pt idx="5">
                  <c:v>61035156249.999901</c:v>
                </c:pt>
                <c:pt idx="6">
                  <c:v>12207031249.999983</c:v>
                </c:pt>
                <c:pt idx="7">
                  <c:v>2441406249.9999967</c:v>
                </c:pt>
                <c:pt idx="8">
                  <c:v>488281249.99999934</c:v>
                </c:pt>
                <c:pt idx="9">
                  <c:v>97656249.999999896</c:v>
                </c:pt>
                <c:pt idx="10">
                  <c:v>19531249.999999978</c:v>
                </c:pt>
                <c:pt idx="11">
                  <c:v>3906249.9999999967</c:v>
                </c:pt>
                <c:pt idx="12">
                  <c:v>781249.9999999993</c:v>
                </c:pt>
                <c:pt idx="13">
                  <c:v>156249.99999999988</c:v>
                </c:pt>
                <c:pt idx="14">
                  <c:v>31249.999999999982</c:v>
                </c:pt>
                <c:pt idx="15">
                  <c:v>6249.9999999999964</c:v>
                </c:pt>
                <c:pt idx="16">
                  <c:v>1249.9999999999995</c:v>
                </c:pt>
                <c:pt idx="17">
                  <c:v>249.99999999999994</c:v>
                </c:pt>
                <c:pt idx="18">
                  <c:v>49.999999999999993</c:v>
                </c:pt>
                <c:pt idx="19">
                  <c:v>10</c:v>
                </c:pt>
                <c:pt idx="20">
                  <c:v>2</c:v>
                </c:pt>
                <c:pt idx="21">
                  <c:v>0.4</c:v>
                </c:pt>
                <c:pt idx="22">
                  <c:v>8.0000000000000016E-2</c:v>
                </c:pt>
                <c:pt idx="23">
                  <c:v>1.6000000000000004E-2</c:v>
                </c:pt>
                <c:pt idx="24">
                  <c:v>3.2000000000000015E-3</c:v>
                </c:pt>
                <c:pt idx="25">
                  <c:v>6.4000000000000038E-4</c:v>
                </c:pt>
                <c:pt idx="26">
                  <c:v>1.2800000000000008E-4</c:v>
                </c:pt>
                <c:pt idx="27">
                  <c:v>2.5600000000000019E-5</c:v>
                </c:pt>
                <c:pt idx="28">
                  <c:v>5.1200000000000043E-6</c:v>
                </c:pt>
                <c:pt idx="29">
                  <c:v>1.0240000000000009E-6</c:v>
                </c:pt>
                <c:pt idx="30">
                  <c:v>2.0480000000000022E-7</c:v>
                </c:pt>
                <c:pt idx="31">
                  <c:v>4.0960000000000044E-8</c:v>
                </c:pt>
                <c:pt idx="32">
                  <c:v>8.1920000000000114E-9</c:v>
                </c:pt>
                <c:pt idx="33">
                  <c:v>1.6384000000000023E-9</c:v>
                </c:pt>
                <c:pt idx="34">
                  <c:v>3.2768000000000046E-10</c:v>
                </c:pt>
                <c:pt idx="35">
                  <c:v>6.5536000000000108E-11</c:v>
                </c:pt>
                <c:pt idx="36">
                  <c:v>1.3107200000000022E-11</c:v>
                </c:pt>
                <c:pt idx="37">
                  <c:v>2.6214400000000046E-12</c:v>
                </c:pt>
                <c:pt idx="38">
                  <c:v>5.2428800000000095E-13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LOG!$AC$16:$AC$64</c:f>
              <c:numCache>
                <c:formatCode>General</c:formatCode>
                <c:ptCount val="49"/>
                <c:pt idx="0">
                  <c:v>-20</c:v>
                </c:pt>
                <c:pt idx="1">
                  <c:v>-19</c:v>
                </c:pt>
                <c:pt idx="2">
                  <c:v>-18</c:v>
                </c:pt>
                <c:pt idx="3">
                  <c:v>-17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-10</c:v>
                </c:pt>
                <c:pt idx="11">
                  <c:v>-9</c:v>
                </c:pt>
                <c:pt idx="12">
                  <c:v>-8</c:v>
                </c:pt>
                <c:pt idx="13">
                  <c:v>-7</c:v>
                </c:pt>
                <c:pt idx="14">
                  <c:v>-6</c:v>
                </c:pt>
                <c:pt idx="15">
                  <c:v>-5</c:v>
                </c:pt>
                <c:pt idx="16">
                  <c:v>-4</c:v>
                </c:pt>
                <c:pt idx="17">
                  <c:v>-3</c:v>
                </c:pt>
                <c:pt idx="18">
                  <c:v>-2</c:v>
                </c:pt>
                <c:pt idx="19">
                  <c:v>-1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</c:numCache>
            </c:numRef>
          </c:xVal>
          <c:yVal>
            <c:numRef>
              <c:f>LOG!$AG$16:$AG$64</c:f>
              <c:numCache>
                <c:formatCode>General</c:formatCode>
                <c:ptCount val="49"/>
                <c:pt idx="0">
                  <c:v>3.2821334733495039E-15</c:v>
                </c:pt>
                <c:pt idx="1">
                  <c:v>1.9692800840097023E-14</c:v>
                </c:pt>
                <c:pt idx="2">
                  <c:v>1.1815680504058215E-13</c:v>
                </c:pt>
                <c:pt idx="3">
                  <c:v>7.0894083024349293E-13</c:v>
                </c:pt>
                <c:pt idx="4">
                  <c:v>4.2536449814609572E-12</c:v>
                </c:pt>
                <c:pt idx="5">
                  <c:v>2.5521869888765743E-11</c:v>
                </c:pt>
                <c:pt idx="6">
                  <c:v>1.5313121933259447E-10</c:v>
                </c:pt>
                <c:pt idx="7">
                  <c:v>9.1878731599556679E-10</c:v>
                </c:pt>
                <c:pt idx="8">
                  <c:v>5.5127238959734005E-9</c:v>
                </c:pt>
                <c:pt idx="9">
                  <c:v>3.3076343375840402E-8</c:v>
                </c:pt>
                <c:pt idx="10">
                  <c:v>1.9845806025504241E-7</c:v>
                </c:pt>
                <c:pt idx="11">
                  <c:v>1.1907483615302544E-6</c:v>
                </c:pt>
                <c:pt idx="12">
                  <c:v>7.1444901691815278E-6</c:v>
                </c:pt>
                <c:pt idx="13">
                  <c:v>4.286694101508916E-5</c:v>
                </c:pt>
                <c:pt idx="14">
                  <c:v>2.5720164609053495E-4</c:v>
                </c:pt>
                <c:pt idx="15">
                  <c:v>1.54320987654321E-3</c:v>
                </c:pt>
                <c:pt idx="16">
                  <c:v>9.2592592592592587E-3</c:v>
                </c:pt>
                <c:pt idx="17">
                  <c:v>5.5555555555555552E-2</c:v>
                </c:pt>
                <c:pt idx="18">
                  <c:v>0.33333333333333331</c:v>
                </c:pt>
                <c:pt idx="19">
                  <c:v>2</c:v>
                </c:pt>
                <c:pt idx="20">
                  <c:v>12</c:v>
                </c:pt>
                <c:pt idx="21">
                  <c:v>72</c:v>
                </c:pt>
                <c:pt idx="22">
                  <c:v>432</c:v>
                </c:pt>
                <c:pt idx="23">
                  <c:v>2592</c:v>
                </c:pt>
                <c:pt idx="24">
                  <c:v>15552</c:v>
                </c:pt>
                <c:pt idx="25">
                  <c:v>93312</c:v>
                </c:pt>
                <c:pt idx="26">
                  <c:v>559872</c:v>
                </c:pt>
                <c:pt idx="27">
                  <c:v>3359232</c:v>
                </c:pt>
                <c:pt idx="28">
                  <c:v>20155392</c:v>
                </c:pt>
                <c:pt idx="29">
                  <c:v>120932352</c:v>
                </c:pt>
                <c:pt idx="30">
                  <c:v>725594112</c:v>
                </c:pt>
                <c:pt idx="31">
                  <c:v>4353564672</c:v>
                </c:pt>
                <c:pt idx="32">
                  <c:v>26121388032</c:v>
                </c:pt>
                <c:pt idx="33">
                  <c:v>156728328192</c:v>
                </c:pt>
                <c:pt idx="34">
                  <c:v>940369969152</c:v>
                </c:pt>
                <c:pt idx="35">
                  <c:v>5642219814912</c:v>
                </c:pt>
                <c:pt idx="36">
                  <c:v>33853318889472</c:v>
                </c:pt>
                <c:pt idx="37">
                  <c:v>203119913336832</c:v>
                </c:pt>
                <c:pt idx="38">
                  <c:v>1218719480020992</c:v>
                </c:pt>
              </c:numCache>
            </c:numRef>
          </c:yVal>
          <c:smooth val="1"/>
        </c:ser>
        <c:axId val="137793920"/>
        <c:axId val="137795840"/>
      </c:scatterChart>
      <c:valAx>
        <c:axId val="137793920"/>
        <c:scaling>
          <c:orientation val="minMax"/>
          <c:max val="10"/>
          <c:min val="-10"/>
        </c:scaling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nl-NL" sz="1100"/>
                  <a:t>X</a:t>
                </a:r>
              </a:p>
            </c:rich>
          </c:tx>
          <c:layout>
            <c:manualLayout>
              <c:xMode val="edge"/>
              <c:yMode val="edge"/>
              <c:x val="0.90521172353455814"/>
              <c:y val="0.59436673357006431"/>
            </c:manualLayout>
          </c:layout>
        </c:title>
        <c:numFmt formatCode="General" sourceLinked="1"/>
        <c:tickLblPos val="nextTo"/>
        <c:crossAx val="137795840"/>
        <c:crosses val="autoZero"/>
        <c:crossBetween val="midCat"/>
      </c:valAx>
      <c:valAx>
        <c:axId val="137795840"/>
        <c:scaling>
          <c:logBase val="10"/>
          <c:orientation val="minMax"/>
          <c:max val="1000000000000"/>
          <c:min val="1.0000000000000171E-8"/>
        </c:scaling>
        <c:axPos val="l"/>
        <c:majorGridlines/>
        <c:numFmt formatCode="General" sourceLinked="1"/>
        <c:tickLblPos val="nextTo"/>
        <c:crossAx val="137793920"/>
        <c:crosses val="autoZero"/>
        <c:crossBetween val="midCat"/>
      </c:valAx>
    </c:plotArea>
    <c:plotVisOnly val="1"/>
  </c:chart>
  <c:printSettings>
    <c:headerFooter/>
    <c:pageMargins b="0.750000000000005" l="0.70000000000000062" r="0.70000000000000062" t="0.75000000000000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LOG!$E$76</c:f>
              <c:strCache>
                <c:ptCount val="1"/>
                <c:pt idx="0">
                  <c:v>Log(y)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-7.814252032055316E-2"/>
                  <c:y val="4.1081219014289877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/>
                  </a:pPr>
                  <a:endParaRPr lang="nl-NL"/>
                </a:p>
              </c:txPr>
            </c:trendlineLbl>
          </c:trendline>
          <c:xVal>
            <c:numRef>
              <c:f>LOG!$D$78:$D$82</c:f>
              <c:numCache>
                <c:formatCode>General</c:formatCode>
                <c:ptCount val="5"/>
                <c:pt idx="0">
                  <c:v>0</c:v>
                </c:pt>
                <c:pt idx="1">
                  <c:v>0.3010299956639812</c:v>
                </c:pt>
                <c:pt idx="2">
                  <c:v>0.47712125471966244</c:v>
                </c:pt>
                <c:pt idx="3">
                  <c:v>0.6020599913279624</c:v>
                </c:pt>
                <c:pt idx="4">
                  <c:v>0.69897000433601886</c:v>
                </c:pt>
              </c:numCache>
            </c:numRef>
          </c:xVal>
          <c:yVal>
            <c:numRef>
              <c:f>LOG!$E$78:$E$82</c:f>
              <c:numCache>
                <c:formatCode>General</c:formatCode>
                <c:ptCount val="5"/>
                <c:pt idx="0">
                  <c:v>-0.3010299956639812</c:v>
                </c:pt>
                <c:pt idx="1">
                  <c:v>0.3979400086720376</c:v>
                </c:pt>
                <c:pt idx="2">
                  <c:v>0.74036268949424389</c:v>
                </c:pt>
                <c:pt idx="3">
                  <c:v>0.97312785359969867</c:v>
                </c:pt>
                <c:pt idx="4">
                  <c:v>1.1818435879447726</c:v>
                </c:pt>
              </c:numCache>
            </c:numRef>
          </c:yVal>
        </c:ser>
        <c:axId val="137974144"/>
        <c:axId val="137975680"/>
      </c:scatterChart>
      <c:valAx>
        <c:axId val="137974144"/>
        <c:scaling>
          <c:orientation val="minMax"/>
        </c:scaling>
        <c:axPos val="b"/>
        <c:numFmt formatCode="General" sourceLinked="1"/>
        <c:tickLblPos val="nextTo"/>
        <c:crossAx val="137975680"/>
        <c:crosses val="autoZero"/>
        <c:crossBetween val="midCat"/>
      </c:valAx>
      <c:valAx>
        <c:axId val="137975680"/>
        <c:scaling>
          <c:orientation val="minMax"/>
        </c:scaling>
        <c:axPos val="l"/>
        <c:majorGridlines/>
        <c:numFmt formatCode="General" sourceLinked="1"/>
        <c:tickLblPos val="nextTo"/>
        <c:crossAx val="13797414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autoTitleDeleted val="1"/>
    <c:plotArea>
      <c:layout/>
      <c:scatterChart>
        <c:scatterStyle val="lineMarker"/>
        <c:ser>
          <c:idx val="1"/>
          <c:order val="0"/>
          <c:tx>
            <c:strRef>
              <c:f>LOG!$E$76</c:f>
              <c:strCache>
                <c:ptCount val="1"/>
                <c:pt idx="0">
                  <c:v>Log(y)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-6.0003535827451784E-2"/>
                  <c:y val="8.7488334791484393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/>
                  </a:pPr>
                  <a:endParaRPr lang="nl-NL"/>
                </a:p>
              </c:txPr>
            </c:trendlineLbl>
          </c:trendline>
          <c:trendline>
            <c:trendlineType val="linear"/>
          </c:trendline>
          <c:xVal>
            <c:numRef>
              <c:f>LOG!$A$78:$A$82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LOG!$E$78:$E$82</c:f>
              <c:numCache>
                <c:formatCode>General</c:formatCode>
                <c:ptCount val="5"/>
                <c:pt idx="0">
                  <c:v>-0.3010299956639812</c:v>
                </c:pt>
                <c:pt idx="1">
                  <c:v>0.3979400086720376</c:v>
                </c:pt>
                <c:pt idx="2">
                  <c:v>0.74036268949424389</c:v>
                </c:pt>
                <c:pt idx="3">
                  <c:v>0.97312785359969867</c:v>
                </c:pt>
                <c:pt idx="4">
                  <c:v>1.1818435879447726</c:v>
                </c:pt>
              </c:numCache>
            </c:numRef>
          </c:yVal>
        </c:ser>
        <c:axId val="137979776"/>
        <c:axId val="137940992"/>
      </c:scatterChart>
      <c:valAx>
        <c:axId val="137979776"/>
        <c:scaling>
          <c:orientation val="minMax"/>
        </c:scaling>
        <c:axPos val="b"/>
        <c:numFmt formatCode="General" sourceLinked="1"/>
        <c:tickLblPos val="nextTo"/>
        <c:crossAx val="137940992"/>
        <c:crosses val="autoZero"/>
        <c:crossBetween val="midCat"/>
      </c:valAx>
      <c:valAx>
        <c:axId val="137940992"/>
        <c:scaling>
          <c:orientation val="minMax"/>
        </c:scaling>
        <c:axPos val="l"/>
        <c:majorGridlines/>
        <c:numFmt formatCode="General" sourceLinked="1"/>
        <c:tickLblPos val="nextTo"/>
        <c:crossAx val="137979776"/>
        <c:crosses val="autoZero"/>
        <c:crossBetween val="midCat"/>
      </c:valAx>
    </c:plotArea>
    <c:legend>
      <c:legendPos val="r"/>
      <c:legendEntry>
        <c:idx val="2"/>
        <c:delete val="1"/>
      </c:legendEntry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scatterChart>
        <c:scatterStyle val="lineMarker"/>
        <c:ser>
          <c:idx val="0"/>
          <c:order val="0"/>
          <c:tx>
            <c:strRef>
              <c:f>STAT!$B$19</c:f>
              <c:strCache>
                <c:ptCount val="1"/>
                <c:pt idx="0">
                  <c:v>X</c:v>
                </c:pt>
              </c:strCache>
            </c:strRef>
          </c:tx>
          <c:spPr>
            <a:ln w="28575">
              <a:noFill/>
            </a:ln>
          </c:spPr>
          <c:xVal>
            <c:numRef>
              <c:f>STAT!$A$20:$A$25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STAT!$B$20:$B$25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8</c:v>
                </c:pt>
                <c:pt idx="3">
                  <c:v>7</c:v>
                </c:pt>
                <c:pt idx="4">
                  <c:v>9</c:v>
                </c:pt>
                <c:pt idx="5">
                  <c:v>4</c:v>
                </c:pt>
              </c:numCache>
            </c:numRef>
          </c:yVal>
        </c:ser>
        <c:ser>
          <c:idx val="3"/>
          <c:order val="1"/>
          <c:tx>
            <c:strRef>
              <c:f>STAT!$E$19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STAT!$A$20:$A$25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STAT!$E$20:$E$25</c:f>
              <c:numCache>
                <c:formatCode>General</c:formatCode>
                <c:ptCount val="6"/>
              </c:numCache>
            </c:numRef>
          </c:yVal>
        </c:ser>
        <c:ser>
          <c:idx val="4"/>
          <c:order val="2"/>
          <c:tx>
            <c:strRef>
              <c:f>STAT!$F$19</c:f>
              <c:strCache>
                <c:ptCount val="1"/>
                <c:pt idx="0">
                  <c:v>X - σx</c:v>
                </c:pt>
              </c:strCache>
            </c:strRef>
          </c:tx>
          <c:spPr>
            <a:ln w="19050">
              <a:solidFill>
                <a:srgbClr val="4F81BD"/>
              </a:solidFill>
            </a:ln>
          </c:spPr>
          <c:marker>
            <c:symbol val="none"/>
          </c:marker>
          <c:xVal>
            <c:numRef>
              <c:f>STAT!$A$20:$A$25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STAT!$F$20:$F$25</c:f>
              <c:numCache>
                <c:formatCode>General</c:formatCode>
                <c:ptCount val="6"/>
                <c:pt idx="0">
                  <c:v>4.792174872340067</c:v>
                </c:pt>
                <c:pt idx="1">
                  <c:v>4.792174872340067</c:v>
                </c:pt>
                <c:pt idx="2">
                  <c:v>4.792174872340067</c:v>
                </c:pt>
                <c:pt idx="3">
                  <c:v>4.792174872340067</c:v>
                </c:pt>
                <c:pt idx="4">
                  <c:v>4.792174872340067</c:v>
                </c:pt>
                <c:pt idx="5">
                  <c:v>4.792174872340067</c:v>
                </c:pt>
              </c:numCache>
            </c:numRef>
          </c:yVal>
        </c:ser>
        <c:ser>
          <c:idx val="5"/>
          <c:order val="3"/>
          <c:tx>
            <c:strRef>
              <c:f>STAT!$G$19</c:f>
              <c:strCache>
                <c:ptCount val="1"/>
                <c:pt idx="0">
                  <c:v>GEM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xVal>
            <c:numRef>
              <c:f>STAT!$A$20:$A$25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STAT!$G$20:$G$25</c:f>
              <c:numCache>
                <c:formatCode>General</c:formatCode>
                <c:ptCount val="6"/>
                <c:pt idx="0">
                  <c:v>6.5</c:v>
                </c:pt>
                <c:pt idx="1">
                  <c:v>6.5</c:v>
                </c:pt>
                <c:pt idx="2">
                  <c:v>6.5</c:v>
                </c:pt>
                <c:pt idx="3">
                  <c:v>6.5</c:v>
                </c:pt>
                <c:pt idx="4">
                  <c:v>6.5</c:v>
                </c:pt>
                <c:pt idx="5">
                  <c:v>6.5</c:v>
                </c:pt>
              </c:numCache>
            </c:numRef>
          </c:yVal>
        </c:ser>
        <c:ser>
          <c:idx val="6"/>
          <c:order val="4"/>
          <c:tx>
            <c:strRef>
              <c:f>STAT!$H$19</c:f>
              <c:strCache>
                <c:ptCount val="1"/>
                <c:pt idx="0">
                  <c:v>X + σx</c:v>
                </c:pt>
              </c:strCache>
            </c:strRef>
          </c:tx>
          <c:spPr>
            <a:ln w="19050">
              <a:solidFill>
                <a:srgbClr val="4F81BD"/>
              </a:solidFill>
            </a:ln>
          </c:spPr>
          <c:marker>
            <c:symbol val="none"/>
          </c:marker>
          <c:xVal>
            <c:numRef>
              <c:f>STAT!$A$20:$A$25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STAT!$H$20:$H$25</c:f>
              <c:numCache>
                <c:formatCode>General</c:formatCode>
                <c:ptCount val="6"/>
                <c:pt idx="0">
                  <c:v>8.2078251276599339</c:v>
                </c:pt>
                <c:pt idx="1">
                  <c:v>8.2078251276599339</c:v>
                </c:pt>
                <c:pt idx="2">
                  <c:v>8.2078251276599339</c:v>
                </c:pt>
                <c:pt idx="3">
                  <c:v>8.2078251276599339</c:v>
                </c:pt>
                <c:pt idx="4">
                  <c:v>8.2078251276599339</c:v>
                </c:pt>
                <c:pt idx="5">
                  <c:v>8.2078251276599339</c:v>
                </c:pt>
              </c:numCache>
            </c:numRef>
          </c:yVal>
        </c:ser>
        <c:axId val="139259904"/>
        <c:axId val="139261440"/>
      </c:scatterChart>
      <c:valAx>
        <c:axId val="139259904"/>
        <c:scaling>
          <c:orientation val="minMax"/>
        </c:scaling>
        <c:axPos val="b"/>
        <c:numFmt formatCode="General" sourceLinked="1"/>
        <c:tickLblPos val="nextTo"/>
        <c:crossAx val="139261440"/>
        <c:crosses val="autoZero"/>
        <c:crossBetween val="midCat"/>
      </c:valAx>
      <c:valAx>
        <c:axId val="139261440"/>
        <c:scaling>
          <c:orientation val="minMax"/>
        </c:scaling>
        <c:axPos val="l"/>
        <c:majorGridlines/>
        <c:numFmt formatCode="General" sourceLinked="1"/>
        <c:tickLblPos val="nextTo"/>
        <c:crossAx val="139259904"/>
        <c:crosses val="autoZero"/>
        <c:crossBetween val="midCat"/>
      </c:valAx>
    </c:plotArea>
    <c:legend>
      <c:legendPos val="r"/>
      <c:legendEntry>
        <c:idx val="1"/>
        <c:delete val="1"/>
      </c:legendEntry>
      <c:layout/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>
                <a:solidFill>
                  <a:srgbClr val="0070C0"/>
                </a:solidFill>
              </a:defRPr>
            </a:pPr>
            <a:r>
              <a:rPr lang="nl-NL">
                <a:solidFill>
                  <a:srgbClr val="0070C0"/>
                </a:solidFill>
              </a:rPr>
              <a:t>Lineaire</a:t>
            </a:r>
            <a:r>
              <a:rPr lang="nl-NL" baseline="0">
                <a:solidFill>
                  <a:srgbClr val="0070C0"/>
                </a:solidFill>
              </a:rPr>
              <a:t> Regressie Lijn</a:t>
            </a:r>
            <a:r>
              <a:rPr lang="nl-NL" baseline="0">
                <a:solidFill>
                  <a:srgbClr val="FF0000"/>
                </a:solidFill>
              </a:rPr>
              <a:t>en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spPr>
              <a:ln w="28575">
                <a:solidFill>
                  <a:srgbClr val="0070C0"/>
                </a:solidFill>
              </a:ln>
            </c:spPr>
            <c:trendlineType val="linear"/>
          </c:trendline>
          <c:xVal>
            <c:numRef>
              <c:f>LRL!$X$5:$X$16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5.5</c:v>
                </c:pt>
                <c:pt idx="11">
                  <c:v>5.5</c:v>
                </c:pt>
              </c:numCache>
            </c:numRef>
          </c:xVal>
          <c:yVal>
            <c:numRef>
              <c:f>LRL!$Y$5:$Y$16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7</c:v>
                </c:pt>
                <c:pt idx="4">
                  <c:v>4</c:v>
                </c:pt>
                <c:pt idx="5">
                  <c:v>8</c:v>
                </c:pt>
                <c:pt idx="6">
                  <c:v>5</c:v>
                </c:pt>
                <c:pt idx="7">
                  <c:v>7</c:v>
                </c:pt>
                <c:pt idx="8">
                  <c:v>11</c:v>
                </c:pt>
                <c:pt idx="9">
                  <c:v>9</c:v>
                </c:pt>
              </c:numCache>
            </c:numRef>
          </c:yVal>
        </c:ser>
        <c:ser>
          <c:idx val="1"/>
          <c:order val="1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LRL!$X$5:$X$16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5.5</c:v>
                </c:pt>
                <c:pt idx="11">
                  <c:v>5.5</c:v>
                </c:pt>
              </c:numCache>
            </c:numRef>
          </c:xVal>
          <c:yVal>
            <c:numRef>
              <c:f>LRL!$Z$5:$Z$16</c:f>
              <c:numCache>
                <c:formatCode>General</c:formatCode>
                <c:ptCount val="12"/>
                <c:pt idx="10">
                  <c:v>1</c:v>
                </c:pt>
                <c:pt idx="11">
                  <c:v>11</c:v>
                </c:pt>
              </c:numCache>
            </c:numRef>
          </c:yVal>
        </c:ser>
        <c:ser>
          <c:idx val="2"/>
          <c:order val="2"/>
          <c:spPr>
            <a:ln w="1905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LRL!$X$5:$X$16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5.5</c:v>
                </c:pt>
                <c:pt idx="11">
                  <c:v>5.5</c:v>
                </c:pt>
              </c:numCache>
            </c:numRef>
          </c:xVal>
          <c:yVal>
            <c:numRef>
              <c:f>LRL!$AA$5:$AA$16</c:f>
              <c:numCache>
                <c:formatCode>General</c:formatCode>
                <c:ptCount val="12"/>
                <c:pt idx="0">
                  <c:v>6.1</c:v>
                </c:pt>
                <c:pt idx="1">
                  <c:v>6.1</c:v>
                </c:pt>
                <c:pt idx="2">
                  <c:v>6.1</c:v>
                </c:pt>
                <c:pt idx="3">
                  <c:v>6.1</c:v>
                </c:pt>
                <c:pt idx="4">
                  <c:v>6.1</c:v>
                </c:pt>
                <c:pt idx="5">
                  <c:v>6.1</c:v>
                </c:pt>
                <c:pt idx="6">
                  <c:v>6.1</c:v>
                </c:pt>
                <c:pt idx="7">
                  <c:v>6.1</c:v>
                </c:pt>
                <c:pt idx="8">
                  <c:v>6.1</c:v>
                </c:pt>
                <c:pt idx="9">
                  <c:v>6.1</c:v>
                </c:pt>
              </c:numCache>
            </c:numRef>
          </c:yVal>
        </c:ser>
        <c:ser>
          <c:idx val="3"/>
          <c:order val="3"/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LRL!$X$5:$X$16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5.5</c:v>
                </c:pt>
                <c:pt idx="11">
                  <c:v>5.5</c:v>
                </c:pt>
              </c:numCache>
            </c:numRef>
          </c:xVal>
          <c:yVal>
            <c:numRef>
              <c:f>LRL!$AB$5:$AB$16</c:f>
              <c:numCache>
                <c:formatCode>General</c:formatCode>
                <c:ptCount val="12"/>
                <c:pt idx="0">
                  <c:v>0.99519999999999942</c:v>
                </c:pt>
                <c:pt idx="1">
                  <c:v>2.1295999999999995</c:v>
                </c:pt>
                <c:pt idx="2">
                  <c:v>3.2639999999999993</c:v>
                </c:pt>
                <c:pt idx="3">
                  <c:v>4.3983999999999996</c:v>
                </c:pt>
                <c:pt idx="4">
                  <c:v>5.5327999999999999</c:v>
                </c:pt>
                <c:pt idx="5">
                  <c:v>6.6671999999999993</c:v>
                </c:pt>
                <c:pt idx="6">
                  <c:v>7.8015999999999996</c:v>
                </c:pt>
                <c:pt idx="7">
                  <c:v>8.9359999999999999</c:v>
                </c:pt>
                <c:pt idx="8">
                  <c:v>10.070399999999999</c:v>
                </c:pt>
                <c:pt idx="9">
                  <c:v>11.204800000000001</c:v>
                </c:pt>
              </c:numCache>
            </c:numRef>
          </c:yVal>
        </c:ser>
        <c:axId val="139113984"/>
        <c:axId val="139115904"/>
      </c:scatterChart>
      <c:valAx>
        <c:axId val="1391139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X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39115904"/>
        <c:crosses val="autoZero"/>
        <c:crossBetween val="midCat"/>
        <c:majorUnit val="1"/>
      </c:valAx>
      <c:valAx>
        <c:axId val="1391159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Y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39113984"/>
        <c:crosses val="autoZero"/>
        <c:crossBetween val="midCat"/>
      </c:valAx>
    </c:plotArea>
    <c:plotVisOnly val="1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en.wikipedia.org/wiki/File:Accuracy_and_precision.svg" TargetMode="Externa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chart" Target="../charts/chart8.xml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chart" Target="../charts/chart9.xml"/><Relationship Id="rId4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chart" Target="../charts/chart10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58</xdr:row>
      <xdr:rowOff>0</xdr:rowOff>
    </xdr:from>
    <xdr:to>
      <xdr:col>4</xdr:col>
      <xdr:colOff>457200</xdr:colOff>
      <xdr:row>66</xdr:row>
      <xdr:rowOff>19050</xdr:rowOff>
    </xdr:to>
    <xdr:pic>
      <xdr:nvPicPr>
        <xdr:cNvPr id="4098" name="Picture 2" descr="http://wpcontent.answers.com/wikipedia/commons/thumb/3/38/Accuracy_and_precision.svg/300px-Accuracy_and_precision.svg.png">
          <a:hlinkClick xmlns:r="http://schemas.openxmlformats.org/officeDocument/2006/relationships" r:id="rId1" tgtFrame="AnswersQueryWindo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1143000"/>
          <a:ext cx="2857500" cy="15430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209550</xdr:colOff>
      <xdr:row>66</xdr:row>
      <xdr:rowOff>19050</xdr:rowOff>
    </xdr:from>
    <xdr:to>
      <xdr:col>3</xdr:col>
      <xdr:colOff>361950</xdr:colOff>
      <xdr:row>70</xdr:row>
      <xdr:rowOff>38100</xdr:rowOff>
    </xdr:to>
    <xdr:pic>
      <xdr:nvPicPr>
        <xdr:cNvPr id="8" name="Afbeelding 7" descr="http://wpcontent.answers.com/wikipedia/commons/thumb/3/38/Accuracy_and_precision.svg/300px-Accuracy_and_precision.svg.png"/>
        <xdr:cNvPicPr/>
      </xdr:nvPicPr>
      <xdr:blipFill>
        <a:blip xmlns:r="http://schemas.openxmlformats.org/officeDocument/2006/relationships" r:embed="rId2" cstate="print"/>
        <a:srcRect l="58000" t="32099" r="15333" b="17284"/>
        <a:stretch>
          <a:fillRect/>
        </a:stretch>
      </xdr:blipFill>
      <xdr:spPr bwMode="auto">
        <a:xfrm>
          <a:off x="1428750" y="2876550"/>
          <a:ext cx="762000" cy="7810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209550</xdr:colOff>
      <xdr:row>67</xdr:row>
      <xdr:rowOff>19050</xdr:rowOff>
    </xdr:from>
    <xdr:to>
      <xdr:col>5</xdr:col>
      <xdr:colOff>361950</xdr:colOff>
      <xdr:row>71</xdr:row>
      <xdr:rowOff>38100</xdr:rowOff>
    </xdr:to>
    <xdr:pic>
      <xdr:nvPicPr>
        <xdr:cNvPr id="11" name="Afbeelding 10" descr="http://wpcontent.answers.com/wikipedia/commons/thumb/3/38/Accuracy_and_precision.svg/300px-Accuracy_and_precision.svg.png"/>
        <xdr:cNvPicPr/>
      </xdr:nvPicPr>
      <xdr:blipFill>
        <a:blip xmlns:r="http://schemas.openxmlformats.org/officeDocument/2006/relationships" r:embed="rId2" cstate="print"/>
        <a:srcRect l="58000" t="32099" r="15333" b="17284"/>
        <a:stretch>
          <a:fillRect/>
        </a:stretch>
      </xdr:blipFill>
      <xdr:spPr bwMode="auto">
        <a:xfrm>
          <a:off x="2647950" y="3067050"/>
          <a:ext cx="762000" cy="7810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70</xdr:row>
      <xdr:rowOff>171450</xdr:rowOff>
    </xdr:from>
    <xdr:to>
      <xdr:col>8</xdr:col>
      <xdr:colOff>581025</xdr:colOff>
      <xdr:row>73</xdr:row>
      <xdr:rowOff>19050</xdr:rowOff>
    </xdr:to>
    <xdr:pic>
      <xdr:nvPicPr>
        <xdr:cNvPr id="13" name="Afbeelding 12" descr="http://wpcontent.answers.com/wikipedia/commons/thumb/3/38/Accuracy_and_precision.svg/300px-Accuracy_and_precision.svg.png"/>
        <xdr:cNvPicPr/>
      </xdr:nvPicPr>
      <xdr:blipFill>
        <a:blip xmlns:r="http://schemas.openxmlformats.org/officeDocument/2006/relationships" r:embed="rId2" cstate="print"/>
        <a:srcRect l="58000" t="32099" r="15333" b="17284"/>
        <a:stretch>
          <a:fillRect/>
        </a:stretch>
      </xdr:blipFill>
      <xdr:spPr bwMode="auto">
        <a:xfrm>
          <a:off x="4267200" y="11782425"/>
          <a:ext cx="1190625" cy="4191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76</xdr:row>
      <xdr:rowOff>19050</xdr:rowOff>
    </xdr:from>
    <xdr:to>
      <xdr:col>2</xdr:col>
      <xdr:colOff>581024</xdr:colOff>
      <xdr:row>78</xdr:row>
      <xdr:rowOff>38100</xdr:rowOff>
    </xdr:to>
    <xdr:pic>
      <xdr:nvPicPr>
        <xdr:cNvPr id="14" name="Afbeelding 13" descr="http://wpcontent.answers.com/wikipedia/commons/thumb/3/38/Accuracy_and_precision.svg/300px-Accuracy_and_precision.svg.png"/>
        <xdr:cNvPicPr/>
      </xdr:nvPicPr>
      <xdr:blipFill>
        <a:blip xmlns:r="http://schemas.openxmlformats.org/officeDocument/2006/relationships" r:embed="rId2" cstate="print"/>
        <a:srcRect l="58000" t="32099" r="15333" b="17284"/>
        <a:stretch>
          <a:fillRect/>
        </a:stretch>
      </xdr:blipFill>
      <xdr:spPr bwMode="auto">
        <a:xfrm>
          <a:off x="638175" y="12811125"/>
          <a:ext cx="1162049" cy="4000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</xdr:colOff>
      <xdr:row>70</xdr:row>
      <xdr:rowOff>9525</xdr:rowOff>
    </xdr:from>
    <xdr:to>
      <xdr:col>2</xdr:col>
      <xdr:colOff>600075</xdr:colOff>
      <xdr:row>70</xdr:row>
      <xdr:rowOff>161925</xdr:rowOff>
    </xdr:to>
    <xdr:sp macro="" textlink="">
      <xdr:nvSpPr>
        <xdr:cNvPr id="15" name="Rechthoek 14"/>
        <xdr:cNvSpPr/>
      </xdr:nvSpPr>
      <xdr:spPr>
        <a:xfrm>
          <a:off x="9525" y="3629025"/>
          <a:ext cx="1809750" cy="1524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0</xdr:col>
      <xdr:colOff>0</xdr:colOff>
      <xdr:row>71</xdr:row>
      <xdr:rowOff>9525</xdr:rowOff>
    </xdr:from>
    <xdr:to>
      <xdr:col>4</xdr:col>
      <xdr:colOff>600074</xdr:colOff>
      <xdr:row>71</xdr:row>
      <xdr:rowOff>142875</xdr:rowOff>
    </xdr:to>
    <xdr:sp macro="" textlink="">
      <xdr:nvSpPr>
        <xdr:cNvPr id="16" name="Rechthoek 15"/>
        <xdr:cNvSpPr/>
      </xdr:nvSpPr>
      <xdr:spPr>
        <a:xfrm>
          <a:off x="0" y="3819525"/>
          <a:ext cx="3038474" cy="13335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4</xdr:col>
      <xdr:colOff>600075</xdr:colOff>
      <xdr:row>73</xdr:row>
      <xdr:rowOff>0</xdr:rowOff>
    </xdr:from>
    <xdr:to>
      <xdr:col>8</xdr:col>
      <xdr:colOff>9525</xdr:colOff>
      <xdr:row>73</xdr:row>
      <xdr:rowOff>161925</xdr:rowOff>
    </xdr:to>
    <xdr:sp macro="" textlink="">
      <xdr:nvSpPr>
        <xdr:cNvPr id="19" name="Rechthoek 18"/>
        <xdr:cNvSpPr/>
      </xdr:nvSpPr>
      <xdr:spPr>
        <a:xfrm>
          <a:off x="3038475" y="4000500"/>
          <a:ext cx="1847850" cy="16192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0</xdr:col>
      <xdr:colOff>0</xdr:colOff>
      <xdr:row>73</xdr:row>
      <xdr:rowOff>9525</xdr:rowOff>
    </xdr:from>
    <xdr:to>
      <xdr:col>4</xdr:col>
      <xdr:colOff>600074</xdr:colOff>
      <xdr:row>73</xdr:row>
      <xdr:rowOff>161925</xdr:rowOff>
    </xdr:to>
    <xdr:sp macro="" textlink="">
      <xdr:nvSpPr>
        <xdr:cNvPr id="20" name="Rechthoek 19"/>
        <xdr:cNvSpPr/>
      </xdr:nvSpPr>
      <xdr:spPr>
        <a:xfrm>
          <a:off x="0" y="4010025"/>
          <a:ext cx="3038474" cy="1524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0</xdr:col>
      <xdr:colOff>0</xdr:colOff>
      <xdr:row>79</xdr:row>
      <xdr:rowOff>9525</xdr:rowOff>
    </xdr:from>
    <xdr:to>
      <xdr:col>4</xdr:col>
      <xdr:colOff>600074</xdr:colOff>
      <xdr:row>79</xdr:row>
      <xdr:rowOff>142875</xdr:rowOff>
    </xdr:to>
    <xdr:sp macro="" textlink="">
      <xdr:nvSpPr>
        <xdr:cNvPr id="21" name="Rechthoek 20"/>
        <xdr:cNvSpPr/>
      </xdr:nvSpPr>
      <xdr:spPr>
        <a:xfrm>
          <a:off x="0" y="5153025"/>
          <a:ext cx="3038474" cy="13335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2</xdr:col>
      <xdr:colOff>28575</xdr:colOff>
      <xdr:row>78</xdr:row>
      <xdr:rowOff>9525</xdr:rowOff>
    </xdr:from>
    <xdr:to>
      <xdr:col>5</xdr:col>
      <xdr:colOff>9525</xdr:colOff>
      <xdr:row>78</xdr:row>
      <xdr:rowOff>161925</xdr:rowOff>
    </xdr:to>
    <xdr:sp macro="" textlink="">
      <xdr:nvSpPr>
        <xdr:cNvPr id="22" name="Rechthoek 21"/>
        <xdr:cNvSpPr/>
      </xdr:nvSpPr>
      <xdr:spPr>
        <a:xfrm>
          <a:off x="1247775" y="4962525"/>
          <a:ext cx="1809750" cy="1524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3</xdr:col>
      <xdr:colOff>257175</xdr:colOff>
      <xdr:row>74</xdr:row>
      <xdr:rowOff>104775</xdr:rowOff>
    </xdr:from>
    <xdr:ext cx="1216487" cy="264560"/>
    <xdr:sp macro="" textlink="">
      <xdr:nvSpPr>
        <xdr:cNvPr id="23" name="Tekstvak 22"/>
        <xdr:cNvSpPr txBox="1"/>
      </xdr:nvSpPr>
      <xdr:spPr>
        <a:xfrm>
          <a:off x="2085975" y="4486275"/>
          <a:ext cx="12164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l-GR" sz="1100" b="1">
              <a:latin typeface="Calibri"/>
            </a:rPr>
            <a:t>σ</a:t>
          </a:r>
          <a:r>
            <a:rPr lang="nl-NL" sz="1100" b="1" baseline="-25000">
              <a:latin typeface="Calibri"/>
            </a:rPr>
            <a:t>tot</a:t>
          </a:r>
          <a:r>
            <a:rPr lang="nl-NL" sz="1100" b="1" baseline="0">
              <a:latin typeface="Calibri"/>
            </a:rPr>
            <a:t> = </a:t>
          </a:r>
          <a:r>
            <a:rPr lang="el-GR" sz="1100" b="1">
              <a:latin typeface="Calibri"/>
            </a:rPr>
            <a:t>√</a:t>
          </a:r>
          <a:r>
            <a:rPr lang="nl-NL" sz="1100" b="1">
              <a:latin typeface="Calibri"/>
            </a:rPr>
            <a:t> ( </a:t>
          </a:r>
          <a:r>
            <a:rPr lang="el-GR" sz="1100" b="1">
              <a:solidFill>
                <a:schemeClr val="tx2"/>
              </a:solidFill>
              <a:latin typeface="Calibri"/>
            </a:rPr>
            <a:t>σ</a:t>
          </a:r>
          <a:r>
            <a:rPr lang="nl-NL" sz="1100" b="1" baseline="-25000">
              <a:solidFill>
                <a:schemeClr val="tx2"/>
              </a:solidFill>
              <a:latin typeface="Calibri"/>
            </a:rPr>
            <a:t>1</a:t>
          </a:r>
          <a:r>
            <a:rPr lang="nl-NL" sz="1100" b="1" baseline="30000">
              <a:latin typeface="Calibri"/>
            </a:rPr>
            <a:t>2</a:t>
          </a:r>
          <a:r>
            <a:rPr lang="nl-NL" sz="1100" b="1" baseline="0">
              <a:latin typeface="Calibri"/>
            </a:rPr>
            <a:t> + </a:t>
          </a:r>
          <a:r>
            <a:rPr lang="el-GR" sz="1100" b="1">
              <a:solidFill>
                <a:srgbClr val="FF0000"/>
              </a:solidFill>
              <a:latin typeface="Calibri"/>
            </a:rPr>
            <a:t>σ</a:t>
          </a:r>
          <a:r>
            <a:rPr lang="nl-NL" sz="1100" b="1" baseline="-25000">
              <a:solidFill>
                <a:srgbClr val="FF0000"/>
              </a:solidFill>
              <a:latin typeface="Calibri"/>
            </a:rPr>
            <a:t>2</a:t>
          </a:r>
          <a:r>
            <a:rPr lang="nl-NL" sz="1100" b="1" baseline="30000">
              <a:latin typeface="Calibri"/>
            </a:rPr>
            <a:t>2</a:t>
          </a:r>
          <a:r>
            <a:rPr lang="nl-NL" sz="1100" b="1">
              <a:latin typeface="Calibri"/>
            </a:rPr>
            <a:t>)</a:t>
          </a:r>
          <a:endParaRPr lang="nl-NL" sz="1100" b="1"/>
        </a:p>
      </xdr:txBody>
    </xdr:sp>
    <xdr:clientData/>
  </xdr:oneCellAnchor>
  <xdr:twoCellAnchor>
    <xdr:from>
      <xdr:col>5</xdr:col>
      <xdr:colOff>66675</xdr:colOff>
      <xdr:row>72</xdr:row>
      <xdr:rowOff>9525</xdr:rowOff>
    </xdr:from>
    <xdr:to>
      <xdr:col>7</xdr:col>
      <xdr:colOff>200025</xdr:colOff>
      <xdr:row>74</xdr:row>
      <xdr:rowOff>85725</xdr:rowOff>
    </xdr:to>
    <xdr:cxnSp macro="">
      <xdr:nvCxnSpPr>
        <xdr:cNvPr id="25" name="Rechte verbindingslijn met pijl 24"/>
        <xdr:cNvCxnSpPr/>
      </xdr:nvCxnSpPr>
      <xdr:spPr>
        <a:xfrm flipV="1">
          <a:off x="3114675" y="4010025"/>
          <a:ext cx="1352550" cy="4572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285750</xdr:colOff>
      <xdr:row>75</xdr:row>
      <xdr:rowOff>133350</xdr:rowOff>
    </xdr:from>
    <xdr:to>
      <xdr:col>3</xdr:col>
      <xdr:colOff>342900</xdr:colOff>
      <xdr:row>76</xdr:row>
      <xdr:rowOff>152400</xdr:rowOff>
    </xdr:to>
    <xdr:cxnSp macro="">
      <xdr:nvCxnSpPr>
        <xdr:cNvPr id="26" name="Rechte verbindingslijn met pijl 25"/>
        <xdr:cNvCxnSpPr/>
      </xdr:nvCxnSpPr>
      <xdr:spPr>
        <a:xfrm flipV="1">
          <a:off x="1504950" y="4743450"/>
          <a:ext cx="666750" cy="209550"/>
        </a:xfrm>
        <a:prstGeom prst="straightConnector1">
          <a:avLst/>
        </a:prstGeom>
        <a:ln>
          <a:solidFill>
            <a:schemeClr val="tx1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95250</xdr:colOff>
      <xdr:row>59</xdr:row>
      <xdr:rowOff>142875</xdr:rowOff>
    </xdr:from>
    <xdr:ext cx="3753272" cy="264560"/>
    <xdr:sp macro="" textlink="">
      <xdr:nvSpPr>
        <xdr:cNvPr id="31" name="Tekstvak 30"/>
        <xdr:cNvSpPr txBox="1"/>
      </xdr:nvSpPr>
      <xdr:spPr>
        <a:xfrm>
          <a:off x="2533650" y="3190875"/>
          <a:ext cx="37532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NAUWKEURIGHEID = AFWIJKING T.O.V.</a:t>
          </a:r>
          <a:r>
            <a:rPr lang="nl-NL" sz="1100" b="1" baseline="0"/>
            <a:t> GEWENSTE WAARDE</a:t>
          </a:r>
          <a:endParaRPr lang="nl-NL" sz="1100" b="1"/>
        </a:p>
      </xdr:txBody>
    </xdr:sp>
    <xdr:clientData/>
  </xdr:oneCellAnchor>
  <xdr:oneCellAnchor>
    <xdr:from>
      <xdr:col>4</xdr:col>
      <xdr:colOff>95250</xdr:colOff>
      <xdr:row>61</xdr:row>
      <xdr:rowOff>142875</xdr:rowOff>
    </xdr:from>
    <xdr:ext cx="3285066" cy="264560"/>
    <xdr:sp macro="" textlink="">
      <xdr:nvSpPr>
        <xdr:cNvPr id="32" name="Tekstvak 31"/>
        <xdr:cNvSpPr txBox="1"/>
      </xdr:nvSpPr>
      <xdr:spPr>
        <a:xfrm>
          <a:off x="2533650" y="3571875"/>
          <a:ext cx="32850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PRECISIE = SPREIDING OM DE WERKELIJKE WAARDE</a:t>
          </a:r>
        </a:p>
      </xdr:txBody>
    </xdr:sp>
    <xdr:clientData/>
  </xdr:oneCellAnchor>
  <xdr:oneCellAnchor>
    <xdr:from>
      <xdr:col>2</xdr:col>
      <xdr:colOff>57150</xdr:colOff>
      <xdr:row>67</xdr:row>
      <xdr:rowOff>38100</xdr:rowOff>
    </xdr:from>
    <xdr:ext cx="311880" cy="436786"/>
    <xdr:sp macro="" textlink="">
      <xdr:nvSpPr>
        <xdr:cNvPr id="33" name="Tekstvak 32"/>
        <xdr:cNvSpPr txBox="1"/>
      </xdr:nvSpPr>
      <xdr:spPr>
        <a:xfrm>
          <a:off x="1276350" y="4800600"/>
          <a:ext cx="31188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l-GR" sz="1100" b="1">
              <a:solidFill>
                <a:schemeClr val="tx2"/>
              </a:solidFill>
              <a:latin typeface="Calibri"/>
            </a:rPr>
            <a:t>μ</a:t>
          </a:r>
          <a:r>
            <a:rPr lang="nl-NL" sz="1100" b="1" baseline="-25000">
              <a:solidFill>
                <a:schemeClr val="tx2"/>
              </a:solidFill>
              <a:latin typeface="Calibri"/>
            </a:rPr>
            <a:t>1</a:t>
          </a:r>
        </a:p>
        <a:p>
          <a:r>
            <a:rPr lang="el-GR" sz="1100" b="1">
              <a:solidFill>
                <a:schemeClr val="tx2"/>
              </a:solidFill>
              <a:latin typeface="Calibri"/>
            </a:rPr>
            <a:t>σ</a:t>
          </a:r>
          <a:r>
            <a:rPr lang="nl-NL" sz="1100" b="1" baseline="-25000">
              <a:solidFill>
                <a:schemeClr val="tx2"/>
              </a:solidFill>
              <a:latin typeface="Calibri"/>
            </a:rPr>
            <a:t>1</a:t>
          </a:r>
          <a:endParaRPr lang="nl-NL" sz="1100" b="1" baseline="-25000">
            <a:solidFill>
              <a:schemeClr val="tx2"/>
            </a:solidFill>
          </a:endParaRPr>
        </a:p>
      </xdr:txBody>
    </xdr:sp>
    <xdr:clientData/>
  </xdr:oneCellAnchor>
  <xdr:oneCellAnchor>
    <xdr:from>
      <xdr:col>4</xdr:col>
      <xdr:colOff>95250</xdr:colOff>
      <xdr:row>68</xdr:row>
      <xdr:rowOff>66675</xdr:rowOff>
    </xdr:from>
    <xdr:ext cx="311880" cy="436786"/>
    <xdr:sp macro="" textlink="">
      <xdr:nvSpPr>
        <xdr:cNvPr id="34" name="Tekstvak 33"/>
        <xdr:cNvSpPr txBox="1"/>
      </xdr:nvSpPr>
      <xdr:spPr>
        <a:xfrm>
          <a:off x="2533650" y="5019675"/>
          <a:ext cx="31188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l-GR" sz="1100" b="1">
              <a:solidFill>
                <a:srgbClr val="FF0000"/>
              </a:solidFill>
              <a:latin typeface="Calibri"/>
            </a:rPr>
            <a:t>μ</a:t>
          </a:r>
          <a:r>
            <a:rPr lang="nl-NL" sz="1100" b="1" baseline="-25000">
              <a:solidFill>
                <a:srgbClr val="FF0000"/>
              </a:solidFill>
              <a:latin typeface="Calibri"/>
            </a:rPr>
            <a:t>2</a:t>
          </a:r>
        </a:p>
        <a:p>
          <a:r>
            <a:rPr lang="el-GR" sz="1100" b="1">
              <a:solidFill>
                <a:srgbClr val="FF0000"/>
              </a:solidFill>
              <a:latin typeface="Calibri"/>
            </a:rPr>
            <a:t>σ</a:t>
          </a:r>
          <a:r>
            <a:rPr lang="nl-NL" sz="1100" b="1" baseline="-25000">
              <a:solidFill>
                <a:srgbClr val="FF0000"/>
              </a:solidFill>
              <a:latin typeface="Calibri"/>
            </a:rPr>
            <a:t>2</a:t>
          </a:r>
          <a:endParaRPr lang="nl-NL" sz="1100" b="1" baseline="-25000">
            <a:solidFill>
              <a:srgbClr val="FF0000"/>
            </a:solidFill>
          </a:endParaRPr>
        </a:p>
      </xdr:txBody>
    </xdr:sp>
    <xdr:clientData/>
  </xdr:oneCellAnchor>
  <xdr:twoCellAnchor>
    <xdr:from>
      <xdr:col>0</xdr:col>
      <xdr:colOff>9525</xdr:colOff>
      <xdr:row>41</xdr:row>
      <xdr:rowOff>9525</xdr:rowOff>
    </xdr:from>
    <xdr:to>
      <xdr:col>2</xdr:col>
      <xdr:colOff>600075</xdr:colOff>
      <xdr:row>41</xdr:row>
      <xdr:rowOff>161925</xdr:rowOff>
    </xdr:to>
    <xdr:sp macro="" textlink="">
      <xdr:nvSpPr>
        <xdr:cNvPr id="37" name="Rechthoek 36"/>
        <xdr:cNvSpPr/>
      </xdr:nvSpPr>
      <xdr:spPr>
        <a:xfrm>
          <a:off x="9525" y="5343525"/>
          <a:ext cx="1809750" cy="1524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0</xdr:col>
      <xdr:colOff>0</xdr:colOff>
      <xdr:row>42</xdr:row>
      <xdr:rowOff>9525</xdr:rowOff>
    </xdr:from>
    <xdr:to>
      <xdr:col>4</xdr:col>
      <xdr:colOff>600074</xdr:colOff>
      <xdr:row>42</xdr:row>
      <xdr:rowOff>142875</xdr:rowOff>
    </xdr:to>
    <xdr:sp macro="" textlink="">
      <xdr:nvSpPr>
        <xdr:cNvPr id="38" name="Rechthoek 37"/>
        <xdr:cNvSpPr/>
      </xdr:nvSpPr>
      <xdr:spPr>
        <a:xfrm>
          <a:off x="0" y="5534025"/>
          <a:ext cx="3038474" cy="13335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4</xdr:col>
      <xdr:colOff>600075</xdr:colOff>
      <xdr:row>44</xdr:row>
      <xdr:rowOff>0</xdr:rowOff>
    </xdr:from>
    <xdr:to>
      <xdr:col>8</xdr:col>
      <xdr:colOff>9525</xdr:colOff>
      <xdr:row>44</xdr:row>
      <xdr:rowOff>161925</xdr:rowOff>
    </xdr:to>
    <xdr:sp macro="" textlink="">
      <xdr:nvSpPr>
        <xdr:cNvPr id="39" name="Rechthoek 38"/>
        <xdr:cNvSpPr/>
      </xdr:nvSpPr>
      <xdr:spPr>
        <a:xfrm>
          <a:off x="3038475" y="5905500"/>
          <a:ext cx="1847850" cy="16192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0</xdr:col>
      <xdr:colOff>0</xdr:colOff>
      <xdr:row>44</xdr:row>
      <xdr:rowOff>9525</xdr:rowOff>
    </xdr:from>
    <xdr:to>
      <xdr:col>4</xdr:col>
      <xdr:colOff>600074</xdr:colOff>
      <xdr:row>44</xdr:row>
      <xdr:rowOff>161925</xdr:rowOff>
    </xdr:to>
    <xdr:sp macro="" textlink="">
      <xdr:nvSpPr>
        <xdr:cNvPr id="40" name="Rechthoek 39"/>
        <xdr:cNvSpPr/>
      </xdr:nvSpPr>
      <xdr:spPr>
        <a:xfrm>
          <a:off x="0" y="5915025"/>
          <a:ext cx="3038474" cy="1524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0</xdr:col>
      <xdr:colOff>0</xdr:colOff>
      <xdr:row>49</xdr:row>
      <xdr:rowOff>9525</xdr:rowOff>
    </xdr:from>
    <xdr:to>
      <xdr:col>4</xdr:col>
      <xdr:colOff>600074</xdr:colOff>
      <xdr:row>49</xdr:row>
      <xdr:rowOff>142875</xdr:rowOff>
    </xdr:to>
    <xdr:sp macro="" textlink="">
      <xdr:nvSpPr>
        <xdr:cNvPr id="41" name="Rechthoek 40"/>
        <xdr:cNvSpPr/>
      </xdr:nvSpPr>
      <xdr:spPr>
        <a:xfrm>
          <a:off x="0" y="7096125"/>
          <a:ext cx="3038474" cy="13335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2</xdr:col>
      <xdr:colOff>28575</xdr:colOff>
      <xdr:row>48</xdr:row>
      <xdr:rowOff>9525</xdr:rowOff>
    </xdr:from>
    <xdr:to>
      <xdr:col>5</xdr:col>
      <xdr:colOff>9525</xdr:colOff>
      <xdr:row>48</xdr:row>
      <xdr:rowOff>161925</xdr:rowOff>
    </xdr:to>
    <xdr:sp macro="" textlink="">
      <xdr:nvSpPr>
        <xdr:cNvPr id="42" name="Rechthoek 41"/>
        <xdr:cNvSpPr/>
      </xdr:nvSpPr>
      <xdr:spPr>
        <a:xfrm>
          <a:off x="1247775" y="6905625"/>
          <a:ext cx="1809750" cy="1524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oneCellAnchor>
    <xdr:from>
      <xdr:col>2</xdr:col>
      <xdr:colOff>352425</xdr:colOff>
      <xdr:row>39</xdr:row>
      <xdr:rowOff>152400</xdr:rowOff>
    </xdr:from>
    <xdr:ext cx="252249" cy="264560"/>
    <xdr:sp macro="" textlink="">
      <xdr:nvSpPr>
        <xdr:cNvPr id="53" name="Tekstvak 52"/>
        <xdr:cNvSpPr txBox="1"/>
      </xdr:nvSpPr>
      <xdr:spPr>
        <a:xfrm>
          <a:off x="1571625" y="5667375"/>
          <a:ext cx="252249" cy="264560"/>
        </a:xfrm>
        <a:prstGeom prst="rect">
          <a:avLst/>
        </a:prstGeom>
        <a:noFill/>
        <a:ln w="22225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solidFill>
                <a:schemeClr val="tx2"/>
              </a:solidFill>
            </a:rPr>
            <a:t>a</a:t>
          </a:r>
        </a:p>
      </xdr:txBody>
    </xdr:sp>
    <xdr:clientData/>
  </xdr:oneCellAnchor>
  <xdr:oneCellAnchor>
    <xdr:from>
      <xdr:col>3</xdr:col>
      <xdr:colOff>9525</xdr:colOff>
      <xdr:row>39</xdr:row>
      <xdr:rowOff>152400</xdr:rowOff>
    </xdr:from>
    <xdr:ext cx="361950" cy="264560"/>
    <xdr:sp macro="" textlink="">
      <xdr:nvSpPr>
        <xdr:cNvPr id="54" name="Tekstvak 53"/>
        <xdr:cNvSpPr txBox="1"/>
      </xdr:nvSpPr>
      <xdr:spPr>
        <a:xfrm>
          <a:off x="1838325" y="5667375"/>
          <a:ext cx="361950" cy="264560"/>
        </a:xfrm>
        <a:prstGeom prst="rect">
          <a:avLst/>
        </a:prstGeom>
        <a:noFill/>
        <a:ln w="22225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 b="1">
              <a:solidFill>
                <a:schemeClr val="tx2"/>
              </a:solidFill>
            </a:rPr>
            <a:t>b</a:t>
          </a:r>
        </a:p>
      </xdr:txBody>
    </xdr:sp>
    <xdr:clientData/>
  </xdr:oneCellAnchor>
  <xdr:oneCellAnchor>
    <xdr:from>
      <xdr:col>7</xdr:col>
      <xdr:colOff>342900</xdr:colOff>
      <xdr:row>42</xdr:row>
      <xdr:rowOff>114300</xdr:rowOff>
    </xdr:from>
    <xdr:ext cx="252249" cy="264560"/>
    <xdr:sp macro="" textlink="">
      <xdr:nvSpPr>
        <xdr:cNvPr id="56" name="Tekstvak 55"/>
        <xdr:cNvSpPr txBox="1"/>
      </xdr:nvSpPr>
      <xdr:spPr>
        <a:xfrm>
          <a:off x="4610100" y="952500"/>
          <a:ext cx="252249" cy="264560"/>
        </a:xfrm>
        <a:prstGeom prst="rect">
          <a:avLst/>
        </a:prstGeom>
        <a:noFill/>
        <a:ln w="22225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solidFill>
                <a:schemeClr val="tx2"/>
              </a:solidFill>
            </a:rPr>
            <a:t>a</a:t>
          </a:r>
        </a:p>
      </xdr:txBody>
    </xdr:sp>
    <xdr:clientData/>
  </xdr:oneCellAnchor>
  <xdr:oneCellAnchor>
    <xdr:from>
      <xdr:col>4</xdr:col>
      <xdr:colOff>371475</xdr:colOff>
      <xdr:row>40</xdr:row>
      <xdr:rowOff>180975</xdr:rowOff>
    </xdr:from>
    <xdr:ext cx="260392" cy="264560"/>
    <xdr:sp macro="" textlink="">
      <xdr:nvSpPr>
        <xdr:cNvPr id="57" name="Tekstvak 56"/>
        <xdr:cNvSpPr txBox="1"/>
      </xdr:nvSpPr>
      <xdr:spPr>
        <a:xfrm>
          <a:off x="2809875" y="5886450"/>
          <a:ext cx="260392" cy="264560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solidFill>
                <a:srgbClr val="FF0000"/>
              </a:solidFill>
            </a:rPr>
            <a:t>p</a:t>
          </a:r>
        </a:p>
      </xdr:txBody>
    </xdr:sp>
    <xdr:clientData/>
  </xdr:oneCellAnchor>
  <xdr:oneCellAnchor>
    <xdr:from>
      <xdr:col>5</xdr:col>
      <xdr:colOff>28575</xdr:colOff>
      <xdr:row>40</xdr:row>
      <xdr:rowOff>180975</xdr:rowOff>
    </xdr:from>
    <xdr:ext cx="361950" cy="264560"/>
    <xdr:sp macro="" textlink="">
      <xdr:nvSpPr>
        <xdr:cNvPr id="59" name="Tekstvak 58"/>
        <xdr:cNvSpPr txBox="1"/>
      </xdr:nvSpPr>
      <xdr:spPr>
        <a:xfrm>
          <a:off x="3076575" y="5886450"/>
          <a:ext cx="361950" cy="264560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 b="1">
              <a:solidFill>
                <a:srgbClr val="FF0000"/>
              </a:solidFill>
            </a:rPr>
            <a:t>q</a:t>
          </a:r>
        </a:p>
      </xdr:txBody>
    </xdr:sp>
    <xdr:clientData/>
  </xdr:oneCellAnchor>
  <xdr:oneCellAnchor>
    <xdr:from>
      <xdr:col>8</xdr:col>
      <xdr:colOff>0</xdr:colOff>
      <xdr:row>42</xdr:row>
      <xdr:rowOff>114300</xdr:rowOff>
    </xdr:from>
    <xdr:ext cx="361950" cy="264560"/>
    <xdr:sp macro="" textlink="">
      <xdr:nvSpPr>
        <xdr:cNvPr id="60" name="Tekstvak 59"/>
        <xdr:cNvSpPr txBox="1"/>
      </xdr:nvSpPr>
      <xdr:spPr>
        <a:xfrm>
          <a:off x="4876800" y="952500"/>
          <a:ext cx="361950" cy="264560"/>
        </a:xfrm>
        <a:prstGeom prst="rect">
          <a:avLst/>
        </a:prstGeom>
        <a:noFill/>
        <a:ln w="22225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 b="1">
              <a:solidFill>
                <a:schemeClr val="tx2"/>
              </a:solidFill>
            </a:rPr>
            <a:t>b</a:t>
          </a:r>
        </a:p>
      </xdr:txBody>
    </xdr:sp>
    <xdr:clientData/>
  </xdr:oneCellAnchor>
  <xdr:oneCellAnchor>
    <xdr:from>
      <xdr:col>8</xdr:col>
      <xdr:colOff>381000</xdr:colOff>
      <xdr:row>42</xdr:row>
      <xdr:rowOff>114300</xdr:rowOff>
    </xdr:from>
    <xdr:ext cx="361950" cy="264560"/>
    <xdr:sp macro="" textlink="">
      <xdr:nvSpPr>
        <xdr:cNvPr id="61" name="Tekstvak 60"/>
        <xdr:cNvSpPr txBox="1"/>
      </xdr:nvSpPr>
      <xdr:spPr>
        <a:xfrm>
          <a:off x="5257800" y="6276975"/>
          <a:ext cx="361950" cy="264560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 b="1">
              <a:solidFill>
                <a:srgbClr val="FF0000"/>
              </a:solidFill>
            </a:rPr>
            <a:t>q</a:t>
          </a:r>
        </a:p>
      </xdr:txBody>
    </xdr:sp>
    <xdr:clientData/>
  </xdr:oneCellAnchor>
  <xdr:oneCellAnchor>
    <xdr:from>
      <xdr:col>7</xdr:col>
      <xdr:colOff>66675</xdr:colOff>
      <xdr:row>42</xdr:row>
      <xdr:rowOff>114300</xdr:rowOff>
    </xdr:from>
    <xdr:ext cx="260392" cy="264560"/>
    <xdr:sp macro="" textlink="">
      <xdr:nvSpPr>
        <xdr:cNvPr id="62" name="Tekstvak 61"/>
        <xdr:cNvSpPr txBox="1"/>
      </xdr:nvSpPr>
      <xdr:spPr>
        <a:xfrm>
          <a:off x="4333875" y="952500"/>
          <a:ext cx="260392" cy="264560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solidFill>
                <a:srgbClr val="FF0000"/>
              </a:solidFill>
            </a:rPr>
            <a:t>p</a:t>
          </a:r>
        </a:p>
      </xdr:txBody>
    </xdr:sp>
    <xdr:clientData/>
  </xdr:oneCellAnchor>
  <xdr:oneCellAnchor>
    <xdr:from>
      <xdr:col>8</xdr:col>
      <xdr:colOff>523875</xdr:colOff>
      <xdr:row>44</xdr:row>
      <xdr:rowOff>66675</xdr:rowOff>
    </xdr:from>
    <xdr:ext cx="654603" cy="436786"/>
    <xdr:sp macro="" textlink="">
      <xdr:nvSpPr>
        <xdr:cNvPr id="63" name="Tekstvak 62"/>
        <xdr:cNvSpPr txBox="1"/>
      </xdr:nvSpPr>
      <xdr:spPr>
        <a:xfrm>
          <a:off x="5400675" y="1095375"/>
          <a:ext cx="654603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+ (</a:t>
          </a:r>
          <a:r>
            <a:rPr lang="nl-NL" sz="1100" b="1">
              <a:solidFill>
                <a:schemeClr val="tx2"/>
              </a:solidFill>
            </a:rPr>
            <a:t>b</a:t>
          </a:r>
          <a:r>
            <a:rPr lang="nl-NL" sz="1100" b="1"/>
            <a:t> + </a:t>
          </a:r>
          <a:r>
            <a:rPr lang="nl-NL" sz="1100" b="1">
              <a:solidFill>
                <a:srgbClr val="FF0000"/>
              </a:solidFill>
            </a:rPr>
            <a:t>q</a:t>
          </a:r>
          <a:r>
            <a:rPr lang="nl-NL" sz="1100" b="1"/>
            <a:t>)</a:t>
          </a:r>
        </a:p>
        <a:p>
          <a:r>
            <a:rPr lang="nl-NL" sz="1100" b="1"/>
            <a:t>-  (</a:t>
          </a:r>
          <a:r>
            <a:rPr lang="nl-NL" sz="1100" b="1">
              <a:solidFill>
                <a:schemeClr val="tx2"/>
              </a:solidFill>
            </a:rPr>
            <a:t>a</a:t>
          </a:r>
          <a:r>
            <a:rPr lang="nl-NL" sz="1100" b="1"/>
            <a:t> + </a:t>
          </a:r>
          <a:r>
            <a:rPr lang="nl-NL" sz="1100" b="1">
              <a:solidFill>
                <a:srgbClr val="FF0000"/>
              </a:solidFill>
            </a:rPr>
            <a:t>p</a:t>
          </a:r>
          <a:r>
            <a:rPr lang="nl-NL" sz="1100" b="1"/>
            <a:t>)</a:t>
          </a:r>
        </a:p>
      </xdr:txBody>
    </xdr:sp>
    <xdr:clientData/>
  </xdr:oneCellAnchor>
  <xdr:oneCellAnchor>
    <xdr:from>
      <xdr:col>2</xdr:col>
      <xdr:colOff>38100</xdr:colOff>
      <xdr:row>46</xdr:row>
      <xdr:rowOff>152400</xdr:rowOff>
    </xdr:from>
    <xdr:ext cx="252249" cy="264560"/>
    <xdr:sp macro="" textlink="">
      <xdr:nvSpPr>
        <xdr:cNvPr id="64" name="Tekstvak 63"/>
        <xdr:cNvSpPr txBox="1"/>
      </xdr:nvSpPr>
      <xdr:spPr>
        <a:xfrm>
          <a:off x="1257300" y="7115175"/>
          <a:ext cx="252249" cy="264560"/>
        </a:xfrm>
        <a:prstGeom prst="rect">
          <a:avLst/>
        </a:prstGeom>
        <a:noFill/>
        <a:ln w="22225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solidFill>
                <a:schemeClr val="tx2"/>
              </a:solidFill>
            </a:rPr>
            <a:t>a</a:t>
          </a:r>
        </a:p>
      </xdr:txBody>
    </xdr:sp>
    <xdr:clientData/>
  </xdr:oneCellAnchor>
  <xdr:oneCellAnchor>
    <xdr:from>
      <xdr:col>1</xdr:col>
      <xdr:colOff>266700</xdr:colOff>
      <xdr:row>46</xdr:row>
      <xdr:rowOff>152400</xdr:rowOff>
    </xdr:from>
    <xdr:ext cx="361950" cy="264560"/>
    <xdr:sp macro="" textlink="">
      <xdr:nvSpPr>
        <xdr:cNvPr id="65" name="Tekstvak 64"/>
        <xdr:cNvSpPr txBox="1"/>
      </xdr:nvSpPr>
      <xdr:spPr>
        <a:xfrm>
          <a:off x="876300" y="7115175"/>
          <a:ext cx="361950" cy="264560"/>
        </a:xfrm>
        <a:prstGeom prst="rect">
          <a:avLst/>
        </a:prstGeom>
        <a:noFill/>
        <a:ln w="22225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 b="1">
              <a:solidFill>
                <a:schemeClr val="tx2"/>
              </a:solidFill>
            </a:rPr>
            <a:t>b</a:t>
          </a:r>
        </a:p>
      </xdr:txBody>
    </xdr:sp>
    <xdr:clientData/>
  </xdr:oneCellAnchor>
  <xdr:oneCellAnchor>
    <xdr:from>
      <xdr:col>2</xdr:col>
      <xdr:colOff>295275</xdr:colOff>
      <xdr:row>46</xdr:row>
      <xdr:rowOff>152400</xdr:rowOff>
    </xdr:from>
    <xdr:ext cx="361950" cy="264560"/>
    <xdr:sp macro="" textlink="">
      <xdr:nvSpPr>
        <xdr:cNvPr id="66" name="Tekstvak 65"/>
        <xdr:cNvSpPr txBox="1"/>
      </xdr:nvSpPr>
      <xdr:spPr>
        <a:xfrm>
          <a:off x="1514475" y="7115175"/>
          <a:ext cx="361950" cy="264560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 b="1">
              <a:solidFill>
                <a:srgbClr val="FF0000"/>
              </a:solidFill>
            </a:rPr>
            <a:t>q</a:t>
          </a:r>
        </a:p>
      </xdr:txBody>
    </xdr:sp>
    <xdr:clientData/>
  </xdr:oneCellAnchor>
  <xdr:oneCellAnchor>
    <xdr:from>
      <xdr:col>0</xdr:col>
      <xdr:colOff>600075</xdr:colOff>
      <xdr:row>46</xdr:row>
      <xdr:rowOff>152400</xdr:rowOff>
    </xdr:from>
    <xdr:ext cx="260392" cy="274084"/>
    <xdr:sp macro="" textlink="">
      <xdr:nvSpPr>
        <xdr:cNvPr id="67" name="Tekstvak 66"/>
        <xdr:cNvSpPr txBox="1"/>
      </xdr:nvSpPr>
      <xdr:spPr>
        <a:xfrm>
          <a:off x="600075" y="7115175"/>
          <a:ext cx="260392" cy="274084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 b="1">
              <a:solidFill>
                <a:srgbClr val="FF0000"/>
              </a:solidFill>
            </a:rPr>
            <a:t>p</a:t>
          </a:r>
        </a:p>
      </xdr:txBody>
    </xdr:sp>
    <xdr:clientData/>
  </xdr:oneCellAnchor>
  <xdr:oneCellAnchor>
    <xdr:from>
      <xdr:col>7</xdr:col>
      <xdr:colOff>47625</xdr:colOff>
      <xdr:row>46</xdr:row>
      <xdr:rowOff>85725</xdr:rowOff>
    </xdr:from>
    <xdr:ext cx="664926" cy="436786"/>
    <xdr:sp macro="" textlink="">
      <xdr:nvSpPr>
        <xdr:cNvPr id="68" name="Tekstvak 67"/>
        <xdr:cNvSpPr txBox="1"/>
      </xdr:nvSpPr>
      <xdr:spPr>
        <a:xfrm>
          <a:off x="4314825" y="1724025"/>
          <a:ext cx="664926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+ (</a:t>
          </a:r>
          <a:r>
            <a:rPr lang="nl-NL" sz="1100" b="1">
              <a:solidFill>
                <a:schemeClr val="tx2"/>
              </a:solidFill>
            </a:rPr>
            <a:t>a </a:t>
          </a:r>
          <a:r>
            <a:rPr lang="nl-NL" sz="1100" b="1"/>
            <a:t>+ </a:t>
          </a:r>
          <a:r>
            <a:rPr lang="nl-NL" sz="1100" b="1">
              <a:solidFill>
                <a:srgbClr val="FF0000"/>
              </a:solidFill>
            </a:rPr>
            <a:t>q</a:t>
          </a:r>
          <a:r>
            <a:rPr lang="nl-NL" sz="1100" b="1"/>
            <a:t>)</a:t>
          </a:r>
        </a:p>
        <a:p>
          <a:r>
            <a:rPr lang="nl-NL" sz="1100" b="1"/>
            <a:t>-  (</a:t>
          </a:r>
          <a:r>
            <a:rPr lang="nl-NL" sz="1100" b="1">
              <a:solidFill>
                <a:schemeClr val="tx2"/>
              </a:solidFill>
            </a:rPr>
            <a:t>b </a:t>
          </a:r>
          <a:r>
            <a:rPr lang="nl-NL" sz="1100" b="1"/>
            <a:t>+ </a:t>
          </a:r>
          <a:r>
            <a:rPr lang="nl-NL" sz="1100" b="1">
              <a:solidFill>
                <a:srgbClr val="FF0000"/>
              </a:solidFill>
            </a:rPr>
            <a:t>p</a:t>
          </a:r>
          <a:r>
            <a:rPr lang="nl-NL" sz="1100" b="1"/>
            <a:t>)</a:t>
          </a:r>
        </a:p>
      </xdr:txBody>
    </xdr:sp>
    <xdr:clientData/>
  </xdr:oneCellAnchor>
  <xdr:twoCellAnchor>
    <xdr:from>
      <xdr:col>8</xdr:col>
      <xdr:colOff>257175</xdr:colOff>
      <xdr:row>46</xdr:row>
      <xdr:rowOff>85725</xdr:rowOff>
    </xdr:from>
    <xdr:to>
      <xdr:col>9</xdr:col>
      <xdr:colOff>47625</xdr:colOff>
      <xdr:row>47</xdr:row>
      <xdr:rowOff>66675</xdr:rowOff>
    </xdr:to>
    <xdr:cxnSp macro="">
      <xdr:nvCxnSpPr>
        <xdr:cNvPr id="70" name="Rechte verbindingslijn met pijl 69"/>
        <xdr:cNvCxnSpPr/>
      </xdr:nvCxnSpPr>
      <xdr:spPr>
        <a:xfrm flipV="1">
          <a:off x="5133975" y="1533525"/>
          <a:ext cx="400050" cy="1714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142875</xdr:colOff>
      <xdr:row>23</xdr:row>
      <xdr:rowOff>76200</xdr:rowOff>
    </xdr:from>
    <xdr:to>
      <xdr:col>9</xdr:col>
      <xdr:colOff>371475</xdr:colOff>
      <xdr:row>23</xdr:row>
      <xdr:rowOff>77788</xdr:rowOff>
    </xdr:to>
    <xdr:cxnSp macro="">
      <xdr:nvCxnSpPr>
        <xdr:cNvPr id="71" name="Rechte verbindingslijn met pijl 70"/>
        <xdr:cNvCxnSpPr/>
      </xdr:nvCxnSpPr>
      <xdr:spPr>
        <a:xfrm>
          <a:off x="2524125" y="14582775"/>
          <a:ext cx="228600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13</xdr:row>
      <xdr:rowOff>104775</xdr:rowOff>
    </xdr:from>
    <xdr:to>
      <xdr:col>7</xdr:col>
      <xdr:colOff>228600</xdr:colOff>
      <xdr:row>13</xdr:row>
      <xdr:rowOff>114300</xdr:rowOff>
    </xdr:to>
    <xdr:cxnSp macro="">
      <xdr:nvCxnSpPr>
        <xdr:cNvPr id="74" name="Rechte verbindingslijn 73"/>
        <xdr:cNvCxnSpPr/>
      </xdr:nvCxnSpPr>
      <xdr:spPr>
        <a:xfrm flipV="1">
          <a:off x="4305300" y="1085850"/>
          <a:ext cx="190500" cy="9525"/>
        </a:xfrm>
        <a:prstGeom prst="line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0.71598</cdr:x>
      <cdr:y>0.47826</cdr:y>
    </cdr:from>
    <cdr:to>
      <cdr:x>1</cdr:x>
      <cdr:y>1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2886075" y="15144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l-NL" sz="1100"/>
        </a:p>
      </cdr:txBody>
    </cdr:sp>
  </cdr:relSizeAnchor>
  <cdr:relSizeAnchor xmlns:cdr="http://schemas.openxmlformats.org/drawingml/2006/chartDrawing">
    <cdr:from>
      <cdr:x>0.21598</cdr:x>
      <cdr:y>0.25543</cdr:y>
    </cdr:from>
    <cdr:to>
      <cdr:x>0.5</cdr:x>
      <cdr:y>0.3913</cdr:y>
    </cdr:to>
    <cdr:sp macro="" textlink="">
      <cdr:nvSpPr>
        <cdr:cNvPr id="6" name="Tekstvak 5"/>
        <cdr:cNvSpPr txBox="1"/>
      </cdr:nvSpPr>
      <cdr:spPr>
        <a:xfrm xmlns:a="http://schemas.openxmlformats.org/drawingml/2006/main">
          <a:off x="695325" y="447675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900" b="1"/>
            <a:t>EXCEL LRL</a:t>
          </a:r>
        </a:p>
      </cdr:txBody>
    </cdr:sp>
  </cdr:relSizeAnchor>
  <cdr:relSizeAnchor xmlns:cdr="http://schemas.openxmlformats.org/drawingml/2006/chartDrawing">
    <cdr:from>
      <cdr:x>0.10355</cdr:x>
      <cdr:y>0.11957</cdr:y>
    </cdr:from>
    <cdr:to>
      <cdr:x>0.59171</cdr:x>
      <cdr:y>0.66848</cdr:y>
    </cdr:to>
    <cdr:sp macro="" textlink="">
      <cdr:nvSpPr>
        <cdr:cNvPr id="7" name="Rechte verbindingslijn 6"/>
        <cdr:cNvSpPr/>
      </cdr:nvSpPr>
      <cdr:spPr>
        <a:xfrm xmlns:a="http://schemas.openxmlformats.org/drawingml/2006/main" flipV="1">
          <a:off x="333375" y="209557"/>
          <a:ext cx="1571615" cy="962017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FF0000">
              <a:alpha val="58000"/>
            </a:srgb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nl-NL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80</xdr:row>
      <xdr:rowOff>19050</xdr:rowOff>
    </xdr:from>
    <xdr:to>
      <xdr:col>7</xdr:col>
      <xdr:colOff>485775</xdr:colOff>
      <xdr:row>108</xdr:row>
      <xdr:rowOff>133350</xdr:rowOff>
    </xdr:to>
    <xdr:graphicFrame macro="">
      <xdr:nvGraphicFramePr>
        <xdr:cNvPr id="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149</xdr:row>
      <xdr:rowOff>19050</xdr:rowOff>
    </xdr:from>
    <xdr:to>
      <xdr:col>4</xdr:col>
      <xdr:colOff>400050</xdr:colOff>
      <xdr:row>150</xdr:row>
      <xdr:rowOff>0</xdr:rowOff>
    </xdr:to>
    <xdr:sp macro="" textlink="">
      <xdr:nvSpPr>
        <xdr:cNvPr id="4" name="Line 1029"/>
        <xdr:cNvSpPr>
          <a:spLocks noChangeShapeType="1"/>
        </xdr:cNvSpPr>
      </xdr:nvSpPr>
      <xdr:spPr bwMode="auto">
        <a:xfrm flipV="1">
          <a:off x="3733800" y="239077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53</xdr:row>
      <xdr:rowOff>95250</xdr:rowOff>
    </xdr:from>
    <xdr:to>
      <xdr:col>8</xdr:col>
      <xdr:colOff>9524</xdr:colOff>
      <xdr:row>69</xdr:row>
      <xdr:rowOff>114299</xdr:rowOff>
    </xdr:to>
    <xdr:graphicFrame macro="">
      <xdr:nvGraphicFramePr>
        <xdr:cNvPr id="6" name="Grafie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609600</xdr:colOff>
      <xdr:row>101</xdr:row>
      <xdr:rowOff>76200</xdr:rowOff>
    </xdr:from>
    <xdr:ext cx="833305" cy="264560"/>
    <xdr:sp macro="" textlink="">
      <xdr:nvSpPr>
        <xdr:cNvPr id="7" name="Tekstvak 6"/>
        <xdr:cNvSpPr txBox="1"/>
      </xdr:nvSpPr>
      <xdr:spPr>
        <a:xfrm>
          <a:off x="1409700" y="17278350"/>
          <a:ext cx="833305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ANOMALIE</a:t>
          </a:r>
        </a:p>
      </xdr:txBody>
    </xdr:sp>
    <xdr:clientData/>
  </xdr:oneCellAnchor>
  <xdr:twoCellAnchor>
    <xdr:from>
      <xdr:col>1</xdr:col>
      <xdr:colOff>304800</xdr:colOff>
      <xdr:row>102</xdr:row>
      <xdr:rowOff>38100</xdr:rowOff>
    </xdr:from>
    <xdr:to>
      <xdr:col>1</xdr:col>
      <xdr:colOff>514350</xdr:colOff>
      <xdr:row>102</xdr:row>
      <xdr:rowOff>95250</xdr:rowOff>
    </xdr:to>
    <xdr:cxnSp macro="">
      <xdr:nvCxnSpPr>
        <xdr:cNvPr id="9" name="Rechte verbindingslijn met pijl 8"/>
        <xdr:cNvCxnSpPr/>
      </xdr:nvCxnSpPr>
      <xdr:spPr>
        <a:xfrm rot="10800000" flipV="1">
          <a:off x="1104900" y="13830300"/>
          <a:ext cx="209550" cy="571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111</xdr:row>
      <xdr:rowOff>9525</xdr:rowOff>
    </xdr:from>
    <xdr:to>
      <xdr:col>7</xdr:col>
      <xdr:colOff>476250</xdr:colOff>
      <xdr:row>128</xdr:row>
      <xdr:rowOff>0</xdr:rowOff>
    </xdr:to>
    <xdr:graphicFrame macro="">
      <xdr:nvGraphicFramePr>
        <xdr:cNvPr id="11" name="Grafiek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666750</xdr:colOff>
      <xdr:row>135</xdr:row>
      <xdr:rowOff>28576</xdr:rowOff>
    </xdr:from>
    <xdr:to>
      <xdr:col>3</xdr:col>
      <xdr:colOff>123825</xdr:colOff>
      <xdr:row>137</xdr:row>
      <xdr:rowOff>95250</xdr:rowOff>
    </xdr:to>
    <xdr:cxnSp macro="">
      <xdr:nvCxnSpPr>
        <xdr:cNvPr id="13" name="Rechte verbindingslijn met pijl 12"/>
        <xdr:cNvCxnSpPr/>
      </xdr:nvCxnSpPr>
      <xdr:spPr>
        <a:xfrm rot="5400000">
          <a:off x="2324101" y="21688425"/>
          <a:ext cx="333374" cy="2190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628650</xdr:colOff>
      <xdr:row>138</xdr:row>
      <xdr:rowOff>104775</xdr:rowOff>
    </xdr:from>
    <xdr:to>
      <xdr:col>3</xdr:col>
      <xdr:colOff>76200</xdr:colOff>
      <xdr:row>140</xdr:row>
      <xdr:rowOff>161925</xdr:rowOff>
    </xdr:to>
    <xdr:cxnSp macro="">
      <xdr:nvCxnSpPr>
        <xdr:cNvPr id="15" name="Rechte verbindingslijn met pijl 14"/>
        <xdr:cNvCxnSpPr/>
      </xdr:nvCxnSpPr>
      <xdr:spPr>
        <a:xfrm rot="16200000" flipV="1">
          <a:off x="2228850" y="22012275"/>
          <a:ext cx="438150" cy="2095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628650</xdr:colOff>
      <xdr:row>139</xdr:row>
      <xdr:rowOff>142875</xdr:rowOff>
    </xdr:from>
    <xdr:to>
      <xdr:col>5</xdr:col>
      <xdr:colOff>133350</xdr:colOff>
      <xdr:row>141</xdr:row>
      <xdr:rowOff>180975</xdr:rowOff>
    </xdr:to>
    <xdr:cxnSp macro="">
      <xdr:nvCxnSpPr>
        <xdr:cNvPr id="18" name="Rechte verbindingslijn met pijl 17"/>
        <xdr:cNvCxnSpPr/>
      </xdr:nvCxnSpPr>
      <xdr:spPr>
        <a:xfrm rot="5400000" flipH="1" flipV="1">
          <a:off x="3905250" y="22183725"/>
          <a:ext cx="419100" cy="304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695326</xdr:colOff>
      <xdr:row>145</xdr:row>
      <xdr:rowOff>47629</xdr:rowOff>
    </xdr:from>
    <xdr:to>
      <xdr:col>3</xdr:col>
      <xdr:colOff>66675</xdr:colOff>
      <xdr:row>147</xdr:row>
      <xdr:rowOff>85727</xdr:rowOff>
    </xdr:to>
    <xdr:cxnSp macro="">
      <xdr:nvCxnSpPr>
        <xdr:cNvPr id="21" name="Rechte verbindingslijn met pijl 20"/>
        <xdr:cNvCxnSpPr/>
      </xdr:nvCxnSpPr>
      <xdr:spPr>
        <a:xfrm rot="5400000">
          <a:off x="2266952" y="23507703"/>
          <a:ext cx="419098" cy="1333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148</xdr:row>
      <xdr:rowOff>123825</xdr:rowOff>
    </xdr:from>
    <xdr:to>
      <xdr:col>2</xdr:col>
      <xdr:colOff>228600</xdr:colOff>
      <xdr:row>149</xdr:row>
      <xdr:rowOff>161925</xdr:rowOff>
    </xdr:to>
    <xdr:cxnSp macro="">
      <xdr:nvCxnSpPr>
        <xdr:cNvPr id="23" name="Rechte verbindingslijn met pijl 22"/>
        <xdr:cNvCxnSpPr/>
      </xdr:nvCxnSpPr>
      <xdr:spPr>
        <a:xfrm rot="5400000" flipH="1" flipV="1">
          <a:off x="1724025" y="23450550"/>
          <a:ext cx="228600" cy="2095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380206</xdr:colOff>
      <xdr:row>167</xdr:row>
      <xdr:rowOff>29369</xdr:rowOff>
    </xdr:from>
    <xdr:to>
      <xdr:col>4</xdr:col>
      <xdr:colOff>381794</xdr:colOff>
      <xdr:row>168</xdr:row>
      <xdr:rowOff>29369</xdr:rowOff>
    </xdr:to>
    <xdr:cxnSp macro="">
      <xdr:nvCxnSpPr>
        <xdr:cNvPr id="27" name="Rechte verbindingslijn met pijl 26"/>
        <xdr:cNvCxnSpPr/>
      </xdr:nvCxnSpPr>
      <xdr:spPr>
        <a:xfrm rot="5400000" flipH="1" flipV="1">
          <a:off x="3619500" y="27251025"/>
          <a:ext cx="190500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685800</xdr:colOff>
      <xdr:row>96</xdr:row>
      <xdr:rowOff>85725</xdr:rowOff>
    </xdr:from>
    <xdr:ext cx="1597873" cy="609013"/>
    <xdr:sp macro="" textlink="">
      <xdr:nvSpPr>
        <xdr:cNvPr id="33" name="Tekstvak 32"/>
        <xdr:cNvSpPr txBox="1"/>
      </xdr:nvSpPr>
      <xdr:spPr>
        <a:xfrm>
          <a:off x="3162300" y="14258925"/>
          <a:ext cx="1597873" cy="60901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DE FORMELE</a:t>
          </a:r>
          <a:r>
            <a:rPr lang="nl-NL" sz="1100" b="1" baseline="0"/>
            <a:t> </a:t>
          </a:r>
          <a:r>
            <a:rPr lang="nl-NL" sz="1100" b="1" baseline="0">
              <a:solidFill>
                <a:srgbClr val="FF0000"/>
              </a:solidFill>
            </a:rPr>
            <a:t>Y = 0,6 X</a:t>
          </a:r>
          <a:r>
            <a:rPr lang="nl-NL" sz="1100" b="1" baseline="30000">
              <a:solidFill>
                <a:srgbClr val="FF0000"/>
              </a:solidFill>
            </a:rPr>
            <a:t>2</a:t>
          </a:r>
        </a:p>
        <a:p>
          <a:r>
            <a:rPr lang="nl-NL" sz="1100" b="1" baseline="0"/>
            <a:t>SLUIT GOED AAN BIJ DE </a:t>
          </a:r>
        </a:p>
        <a:p>
          <a:r>
            <a:rPr lang="nl-NL" sz="1100" b="1" baseline="0"/>
            <a:t>MEETWAARDEN  Y</a:t>
          </a:r>
          <a:endParaRPr lang="nl-NL" sz="1100" b="1"/>
        </a:p>
      </xdr:txBody>
    </xdr:sp>
    <xdr:clientData/>
  </xdr:oneCellAnchor>
  <xdr:twoCellAnchor>
    <xdr:from>
      <xdr:col>1</xdr:col>
      <xdr:colOff>876300</xdr:colOff>
      <xdr:row>166</xdr:row>
      <xdr:rowOff>123825</xdr:rowOff>
    </xdr:from>
    <xdr:to>
      <xdr:col>2</xdr:col>
      <xdr:colOff>247650</xdr:colOff>
      <xdr:row>167</xdr:row>
      <xdr:rowOff>180975</xdr:rowOff>
    </xdr:to>
    <xdr:cxnSp macro="">
      <xdr:nvCxnSpPr>
        <xdr:cNvPr id="36" name="Rechte verbindingslijn met pijl 35"/>
        <xdr:cNvCxnSpPr/>
      </xdr:nvCxnSpPr>
      <xdr:spPr>
        <a:xfrm flipV="1">
          <a:off x="1676400" y="27241500"/>
          <a:ext cx="285750" cy="247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0.21251</cdr:x>
      <cdr:y>0.1381</cdr:y>
    </cdr:from>
    <cdr:to>
      <cdr:x>0.61246</cdr:x>
      <cdr:y>0.25509</cdr:y>
    </cdr:to>
    <cdr:sp macro="" textlink="">
      <cdr:nvSpPr>
        <cdr:cNvPr id="133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3694" y="741894"/>
          <a:ext cx="2472335" cy="62849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nl-NL" sz="950" b="1" i="0" strike="noStrike">
              <a:solidFill>
                <a:srgbClr val="000000"/>
              </a:solidFill>
              <a:latin typeface="Arial"/>
              <a:cs typeface="Arial"/>
            </a:rPr>
            <a:t>Benaderingsformule is vrij goed als</a:t>
          </a:r>
        </a:p>
        <a:p xmlns:a="http://schemas.openxmlformats.org/drawingml/2006/main">
          <a:pPr algn="l" rtl="1">
            <a:defRPr sz="1000"/>
          </a:pPr>
          <a:r>
            <a:rPr lang="nl-NL" sz="950" b="1" i="0" strike="noStrike">
              <a:solidFill>
                <a:srgbClr val="000000"/>
              </a:solidFill>
              <a:latin typeface="Arial"/>
              <a:cs typeface="Arial"/>
            </a:rPr>
            <a:t>lijn zo recht mogelijk is en</a:t>
          </a:r>
        </a:p>
        <a:p xmlns:a="http://schemas.openxmlformats.org/drawingml/2006/main">
          <a:pPr algn="l" rtl="1">
            <a:defRPr sz="1000"/>
          </a:pPr>
          <a:r>
            <a:rPr lang="nl-NL" sz="950" b="1" i="0" strike="noStrike">
              <a:solidFill>
                <a:srgbClr val="000000"/>
              </a:solidFill>
              <a:latin typeface="Arial"/>
              <a:cs typeface="Arial"/>
            </a:rPr>
            <a:t>(eind)waarden gelijk zijn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0.56541</cdr:x>
      <cdr:y>0.58696</cdr:y>
    </cdr:from>
    <cdr:to>
      <cdr:x>0.81805</cdr:x>
      <cdr:y>0.79814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3581400" y="1800225"/>
          <a:ext cx="1600200" cy="6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100" b="1"/>
            <a:t>DE</a:t>
          </a:r>
          <a:r>
            <a:rPr lang="nl-NL" sz="1100" b="1" baseline="0"/>
            <a:t> FORMULE</a:t>
          </a:r>
        </a:p>
        <a:p xmlns:a="http://schemas.openxmlformats.org/drawingml/2006/main">
          <a:r>
            <a:rPr lang="nl-NL" sz="1100" b="1" baseline="0">
              <a:solidFill>
                <a:srgbClr val="FF0000"/>
              </a:solidFill>
            </a:rPr>
            <a:t>Y = 0,6 * X</a:t>
          </a:r>
          <a:r>
            <a:rPr lang="nl-NL" sz="1100" b="1" baseline="30000">
              <a:solidFill>
                <a:srgbClr val="FF0000"/>
              </a:solidFill>
            </a:rPr>
            <a:t>2</a:t>
          </a:r>
          <a:r>
            <a:rPr lang="nl-NL" sz="1100" b="1" baseline="0">
              <a:solidFill>
                <a:srgbClr val="FF0000"/>
              </a:solidFill>
            </a:rPr>
            <a:t> </a:t>
          </a:r>
          <a:r>
            <a:rPr lang="nl-NL" sz="1100" b="1" baseline="0"/>
            <a:t>LIJKT</a:t>
          </a:r>
        </a:p>
        <a:p xmlns:a="http://schemas.openxmlformats.org/drawingml/2006/main">
          <a:r>
            <a:rPr lang="nl-NL" sz="1100" b="1" baseline="0"/>
            <a:t>GOEDE BENADERING</a:t>
          </a:r>
          <a:endParaRPr lang="nl-NL" sz="1100" b="1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295274</xdr:colOff>
      <xdr:row>10</xdr:row>
      <xdr:rowOff>9525</xdr:rowOff>
    </xdr:from>
    <xdr:to>
      <xdr:col>18</xdr:col>
      <xdr:colOff>152399</xdr:colOff>
      <xdr:row>26</xdr:row>
      <xdr:rowOff>161925</xdr:rowOff>
    </xdr:to>
    <xdr:graphicFrame macro="">
      <xdr:nvGraphicFramePr>
        <xdr:cNvPr id="8" name="Grafiek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361950</xdr:colOff>
      <xdr:row>27</xdr:row>
      <xdr:rowOff>57150</xdr:rowOff>
    </xdr:from>
    <xdr:to>
      <xdr:col>9</xdr:col>
      <xdr:colOff>190500</xdr:colOff>
      <xdr:row>29</xdr:row>
      <xdr:rowOff>114300</xdr:rowOff>
    </xdr:to>
    <xdr:cxnSp macro="">
      <xdr:nvCxnSpPr>
        <xdr:cNvPr id="10" name="Rechte verbindingslijn met pijl 9"/>
        <xdr:cNvCxnSpPr/>
      </xdr:nvCxnSpPr>
      <xdr:spPr>
        <a:xfrm rot="5400000" flipH="1" flipV="1">
          <a:off x="5257800" y="3486150"/>
          <a:ext cx="438150" cy="4381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371475</xdr:colOff>
      <xdr:row>93</xdr:row>
      <xdr:rowOff>180974</xdr:rowOff>
    </xdr:from>
    <xdr:to>
      <xdr:col>18</xdr:col>
      <xdr:colOff>200025</xdr:colOff>
      <xdr:row>109</xdr:row>
      <xdr:rowOff>114299</xdr:rowOff>
    </xdr:to>
    <xdr:graphicFrame macro="">
      <xdr:nvGraphicFramePr>
        <xdr:cNvPr id="13" name="Grafiek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</xdr:row>
      <xdr:rowOff>28575</xdr:rowOff>
    </xdr:from>
    <xdr:to>
      <xdr:col>7</xdr:col>
      <xdr:colOff>390525</xdr:colOff>
      <xdr:row>17</xdr:row>
      <xdr:rowOff>104775</xdr:rowOff>
    </xdr:to>
    <xdr:graphicFrame macro="">
      <xdr:nvGraphicFramePr>
        <xdr:cNvPr id="49" name="Grafiek 4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19050</xdr:colOff>
      <xdr:row>9</xdr:row>
      <xdr:rowOff>47625</xdr:rowOff>
    </xdr:from>
    <xdr:ext cx="262380" cy="264560"/>
    <xdr:sp macro="" textlink="">
      <xdr:nvSpPr>
        <xdr:cNvPr id="50" name="Tekstvak 49"/>
        <xdr:cNvSpPr txBox="1"/>
      </xdr:nvSpPr>
      <xdr:spPr>
        <a:xfrm>
          <a:off x="4286250" y="1952625"/>
          <a:ext cx="2623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X</a:t>
          </a:r>
        </a:p>
      </xdr:txBody>
    </xdr:sp>
    <xdr:clientData/>
  </xdr:oneCellAnchor>
  <xdr:oneCellAnchor>
    <xdr:from>
      <xdr:col>3</xdr:col>
      <xdr:colOff>85725</xdr:colOff>
      <xdr:row>3</xdr:row>
      <xdr:rowOff>142875</xdr:rowOff>
    </xdr:from>
    <xdr:ext cx="257956" cy="264560"/>
    <xdr:sp macro="" textlink="">
      <xdr:nvSpPr>
        <xdr:cNvPr id="51" name="Tekstvak 50"/>
        <xdr:cNvSpPr txBox="1"/>
      </xdr:nvSpPr>
      <xdr:spPr>
        <a:xfrm>
          <a:off x="1914525" y="904875"/>
          <a:ext cx="25795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Y</a:t>
          </a:r>
        </a:p>
      </xdr:txBody>
    </xdr:sp>
    <xdr:clientData/>
  </xdr:oneCellAnchor>
  <xdr:oneCellAnchor>
    <xdr:from>
      <xdr:col>4</xdr:col>
      <xdr:colOff>466725</xdr:colOff>
      <xdr:row>13</xdr:row>
      <xdr:rowOff>123825</xdr:rowOff>
    </xdr:from>
    <xdr:ext cx="821443" cy="436786"/>
    <xdr:sp macro="" textlink="">
      <xdr:nvSpPr>
        <xdr:cNvPr id="65" name="Tekstvak 64"/>
        <xdr:cNvSpPr txBox="1"/>
      </xdr:nvSpPr>
      <xdr:spPr>
        <a:xfrm>
          <a:off x="2905125" y="2790825"/>
          <a:ext cx="821443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solidFill>
                <a:srgbClr val="FF0000"/>
              </a:solidFill>
            </a:rPr>
            <a:t>LINEAIRE </a:t>
          </a:r>
        </a:p>
        <a:p>
          <a:r>
            <a:rPr lang="nl-NL" sz="1100" b="1">
              <a:solidFill>
                <a:srgbClr val="FF0000"/>
              </a:solidFill>
            </a:rPr>
            <a:t>TRENDLIJN</a:t>
          </a:r>
        </a:p>
      </xdr:txBody>
    </xdr:sp>
    <xdr:clientData/>
  </xdr:oneCellAnchor>
  <xdr:twoCellAnchor>
    <xdr:from>
      <xdr:col>2</xdr:col>
      <xdr:colOff>457200</xdr:colOff>
      <xdr:row>36</xdr:row>
      <xdr:rowOff>38100</xdr:rowOff>
    </xdr:from>
    <xdr:to>
      <xdr:col>10</xdr:col>
      <xdr:colOff>0</xdr:colOff>
      <xdr:row>50</xdr:row>
      <xdr:rowOff>171450</xdr:rowOff>
    </xdr:to>
    <xdr:graphicFrame macro="">
      <xdr:nvGraphicFramePr>
        <xdr:cNvPr id="75" name="Grafiek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22</xdr:row>
      <xdr:rowOff>38100</xdr:rowOff>
    </xdr:from>
    <xdr:to>
      <xdr:col>7</xdr:col>
      <xdr:colOff>466725</xdr:colOff>
      <xdr:row>22</xdr:row>
      <xdr:rowOff>38100</xdr:rowOff>
    </xdr:to>
    <xdr:cxnSp macro="">
      <xdr:nvCxnSpPr>
        <xdr:cNvPr id="77" name="Rechte verbindingslijn 76"/>
        <xdr:cNvCxnSpPr/>
      </xdr:nvCxnSpPr>
      <xdr:spPr>
        <a:xfrm>
          <a:off x="4657725" y="6705600"/>
          <a:ext cx="762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22</xdr:row>
      <xdr:rowOff>47625</xdr:rowOff>
    </xdr:from>
    <xdr:to>
      <xdr:col>6</xdr:col>
      <xdr:colOff>95250</xdr:colOff>
      <xdr:row>22</xdr:row>
      <xdr:rowOff>47625</xdr:rowOff>
    </xdr:to>
    <xdr:cxnSp macro="">
      <xdr:nvCxnSpPr>
        <xdr:cNvPr id="78" name="Rechte verbindingslijn 77"/>
        <xdr:cNvCxnSpPr/>
      </xdr:nvCxnSpPr>
      <xdr:spPr>
        <a:xfrm>
          <a:off x="3676650" y="6715125"/>
          <a:ext cx="762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22</xdr:row>
      <xdr:rowOff>38100</xdr:rowOff>
    </xdr:from>
    <xdr:to>
      <xdr:col>7</xdr:col>
      <xdr:colOff>190500</xdr:colOff>
      <xdr:row>22</xdr:row>
      <xdr:rowOff>38100</xdr:rowOff>
    </xdr:to>
    <xdr:cxnSp macro="">
      <xdr:nvCxnSpPr>
        <xdr:cNvPr id="79" name="Rechte verbindingslijn 78"/>
        <xdr:cNvCxnSpPr/>
      </xdr:nvCxnSpPr>
      <xdr:spPr>
        <a:xfrm>
          <a:off x="4381500" y="6705600"/>
          <a:ext cx="762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22</xdr:row>
      <xdr:rowOff>47625</xdr:rowOff>
    </xdr:from>
    <xdr:to>
      <xdr:col>5</xdr:col>
      <xdr:colOff>238125</xdr:colOff>
      <xdr:row>22</xdr:row>
      <xdr:rowOff>47625</xdr:rowOff>
    </xdr:to>
    <xdr:cxnSp macro="">
      <xdr:nvCxnSpPr>
        <xdr:cNvPr id="80" name="Rechte verbindingslijn 79"/>
        <xdr:cNvCxnSpPr/>
      </xdr:nvCxnSpPr>
      <xdr:spPr>
        <a:xfrm>
          <a:off x="3209925" y="6715125"/>
          <a:ext cx="762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219075</xdr:colOff>
      <xdr:row>23</xdr:row>
      <xdr:rowOff>38100</xdr:rowOff>
    </xdr:from>
    <xdr:to>
      <xdr:col>6</xdr:col>
      <xdr:colOff>295275</xdr:colOff>
      <xdr:row>23</xdr:row>
      <xdr:rowOff>38100</xdr:rowOff>
    </xdr:to>
    <xdr:cxnSp macro="">
      <xdr:nvCxnSpPr>
        <xdr:cNvPr id="81" name="Rechte verbindingslijn 80"/>
        <xdr:cNvCxnSpPr/>
      </xdr:nvCxnSpPr>
      <xdr:spPr>
        <a:xfrm>
          <a:off x="3876675" y="4800600"/>
          <a:ext cx="762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352425</xdr:colOff>
      <xdr:row>23</xdr:row>
      <xdr:rowOff>38100</xdr:rowOff>
    </xdr:from>
    <xdr:to>
      <xdr:col>6</xdr:col>
      <xdr:colOff>428625</xdr:colOff>
      <xdr:row>23</xdr:row>
      <xdr:rowOff>38100</xdr:rowOff>
    </xdr:to>
    <xdr:cxnSp macro="">
      <xdr:nvCxnSpPr>
        <xdr:cNvPr id="82" name="Rechte verbindingslijn 81"/>
        <xdr:cNvCxnSpPr/>
      </xdr:nvCxnSpPr>
      <xdr:spPr>
        <a:xfrm>
          <a:off x="4010025" y="4800600"/>
          <a:ext cx="762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476250</xdr:colOff>
      <xdr:row>13</xdr:row>
      <xdr:rowOff>19050</xdr:rowOff>
    </xdr:from>
    <xdr:ext cx="783676" cy="264560"/>
    <xdr:sp macro="" textlink="">
      <xdr:nvSpPr>
        <xdr:cNvPr id="85" name="Tekstvak 84"/>
        <xdr:cNvSpPr txBox="1"/>
      </xdr:nvSpPr>
      <xdr:spPr>
        <a:xfrm>
          <a:off x="1085850" y="2686050"/>
          <a:ext cx="7836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solidFill>
                <a:srgbClr val="C00000"/>
              </a:solidFill>
            </a:rPr>
            <a:t>Y = - 4,375</a:t>
          </a:r>
        </a:p>
      </xdr:txBody>
    </xdr:sp>
    <xdr:clientData/>
  </xdr:oneCellAnchor>
  <xdr:twoCellAnchor>
    <xdr:from>
      <xdr:col>1</xdr:col>
      <xdr:colOff>581025</xdr:colOff>
      <xdr:row>13</xdr:row>
      <xdr:rowOff>85725</xdr:rowOff>
    </xdr:from>
    <xdr:to>
      <xdr:col>2</xdr:col>
      <xdr:colOff>47625</xdr:colOff>
      <xdr:row>13</xdr:row>
      <xdr:rowOff>85725</xdr:rowOff>
    </xdr:to>
    <xdr:cxnSp macro="">
      <xdr:nvCxnSpPr>
        <xdr:cNvPr id="87" name="Rechte verbindingslijn 86"/>
        <xdr:cNvCxnSpPr/>
      </xdr:nvCxnSpPr>
      <xdr:spPr>
        <a:xfrm>
          <a:off x="1190625" y="2752725"/>
          <a:ext cx="76200" cy="0"/>
        </a:xfrm>
        <a:prstGeom prst="line">
          <a:avLst/>
        </a:prstGeom>
        <a:ln w="15875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142875</xdr:colOff>
      <xdr:row>6</xdr:row>
      <xdr:rowOff>76200</xdr:rowOff>
    </xdr:from>
    <xdr:ext cx="722314" cy="264560"/>
    <xdr:sp macro="" textlink="">
      <xdr:nvSpPr>
        <xdr:cNvPr id="89" name="Tekstvak 88"/>
        <xdr:cNvSpPr txBox="1"/>
      </xdr:nvSpPr>
      <xdr:spPr>
        <a:xfrm>
          <a:off x="1362075" y="1409700"/>
          <a:ext cx="72231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solidFill>
                <a:srgbClr val="C00000"/>
              </a:solidFill>
            </a:rPr>
            <a:t>X = - 0,25</a:t>
          </a:r>
        </a:p>
      </xdr:txBody>
    </xdr:sp>
    <xdr:clientData/>
  </xdr:oneCellAnchor>
  <xdr:twoCellAnchor>
    <xdr:from>
      <xdr:col>2</xdr:col>
      <xdr:colOff>247650</xdr:colOff>
      <xdr:row>6</xdr:row>
      <xdr:rowOff>133350</xdr:rowOff>
    </xdr:from>
    <xdr:to>
      <xdr:col>2</xdr:col>
      <xdr:colOff>323850</xdr:colOff>
      <xdr:row>6</xdr:row>
      <xdr:rowOff>133350</xdr:rowOff>
    </xdr:to>
    <xdr:cxnSp macro="">
      <xdr:nvCxnSpPr>
        <xdr:cNvPr id="90" name="Rechte verbindingslijn 89"/>
        <xdr:cNvCxnSpPr/>
      </xdr:nvCxnSpPr>
      <xdr:spPr>
        <a:xfrm>
          <a:off x="1466850" y="1466850"/>
          <a:ext cx="76200" cy="0"/>
        </a:xfrm>
        <a:prstGeom prst="line">
          <a:avLst/>
        </a:prstGeom>
        <a:ln w="15875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561975</xdr:colOff>
      <xdr:row>6</xdr:row>
      <xdr:rowOff>104775</xdr:rowOff>
    </xdr:from>
    <xdr:ext cx="752385" cy="264560"/>
    <xdr:sp macro="" textlink="">
      <xdr:nvSpPr>
        <xdr:cNvPr id="91" name="Tekstvak 90"/>
        <xdr:cNvSpPr txBox="1"/>
      </xdr:nvSpPr>
      <xdr:spPr>
        <a:xfrm>
          <a:off x="2390775" y="1628775"/>
          <a:ext cx="7523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solidFill>
                <a:schemeClr val="tx2"/>
              </a:solidFill>
            </a:rPr>
            <a:t>Y = 17,5 X</a:t>
          </a:r>
        </a:p>
      </xdr:txBody>
    </xdr:sp>
    <xdr:clientData/>
  </xdr:oneCellAnchor>
  <xdr:twoCellAnchor>
    <xdr:from>
      <xdr:col>4</xdr:col>
      <xdr:colOff>38100</xdr:colOff>
      <xdr:row>18</xdr:row>
      <xdr:rowOff>38100</xdr:rowOff>
    </xdr:from>
    <xdr:to>
      <xdr:col>4</xdr:col>
      <xdr:colOff>114300</xdr:colOff>
      <xdr:row>18</xdr:row>
      <xdr:rowOff>38100</xdr:rowOff>
    </xdr:to>
    <xdr:cxnSp macro="">
      <xdr:nvCxnSpPr>
        <xdr:cNvPr id="93" name="Rechte verbindingslijn 92"/>
        <xdr:cNvCxnSpPr/>
      </xdr:nvCxnSpPr>
      <xdr:spPr>
        <a:xfrm>
          <a:off x="2476500" y="3467100"/>
          <a:ext cx="7620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18</xdr:row>
      <xdr:rowOff>38100</xdr:rowOff>
    </xdr:from>
    <xdr:to>
      <xdr:col>5</xdr:col>
      <xdr:colOff>238125</xdr:colOff>
      <xdr:row>18</xdr:row>
      <xdr:rowOff>38100</xdr:rowOff>
    </xdr:to>
    <xdr:cxnSp macro="">
      <xdr:nvCxnSpPr>
        <xdr:cNvPr id="94" name="Rechte verbindingslijn 93"/>
        <xdr:cNvCxnSpPr/>
      </xdr:nvCxnSpPr>
      <xdr:spPr>
        <a:xfrm>
          <a:off x="3209925" y="3467100"/>
          <a:ext cx="7620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133350</xdr:colOff>
      <xdr:row>56</xdr:row>
      <xdr:rowOff>171450</xdr:rowOff>
    </xdr:from>
    <xdr:to>
      <xdr:col>9</xdr:col>
      <xdr:colOff>600075</xdr:colOff>
      <xdr:row>73</xdr:row>
      <xdr:rowOff>133350</xdr:rowOff>
    </xdr:to>
    <xdr:graphicFrame macro="">
      <xdr:nvGraphicFramePr>
        <xdr:cNvPr id="95" name="Grafiek 9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0.24346</cdr:x>
      <cdr:y>0.49702</cdr:y>
    </cdr:from>
    <cdr:to>
      <cdr:x>0.26358</cdr:x>
      <cdr:y>0.53869</cdr:y>
    </cdr:to>
    <cdr:sp macro="" textlink="">
      <cdr:nvSpPr>
        <cdr:cNvPr id="3" name="Rechte verbindingslijn 2"/>
        <cdr:cNvSpPr/>
      </cdr:nvSpPr>
      <cdr:spPr>
        <a:xfrm xmlns:a="http://schemas.openxmlformats.org/drawingml/2006/main" rot="16200000" flipV="1">
          <a:off x="1152526" y="1590674"/>
          <a:ext cx="95251" cy="13335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0.13078</cdr:x>
      <cdr:y>0.23512</cdr:y>
    </cdr:from>
    <cdr:to>
      <cdr:x>0.19115</cdr:x>
      <cdr:y>0.4375</cdr:y>
    </cdr:to>
    <cdr:sp macro="" textlink="">
      <cdr:nvSpPr>
        <cdr:cNvPr id="5" name="Rechte verbindingslijn met pijl 4"/>
        <cdr:cNvSpPr/>
      </cdr:nvSpPr>
      <cdr:spPr>
        <a:xfrm xmlns:a="http://schemas.openxmlformats.org/drawingml/2006/main" rot="16200000" flipH="1">
          <a:off x="619126" y="752474"/>
          <a:ext cx="285751" cy="647701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nl-NL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40</xdr:row>
      <xdr:rowOff>9525</xdr:rowOff>
    </xdr:from>
    <xdr:to>
      <xdr:col>2</xdr:col>
      <xdr:colOff>419100</xdr:colOff>
      <xdr:row>43</xdr:row>
      <xdr:rowOff>180975</xdr:rowOff>
    </xdr:to>
    <xdr:sp macro="" textlink="">
      <xdr:nvSpPr>
        <xdr:cNvPr id="2" name="Vierkante haak rechts 1"/>
        <xdr:cNvSpPr/>
      </xdr:nvSpPr>
      <xdr:spPr>
        <a:xfrm>
          <a:off x="1543050" y="7248525"/>
          <a:ext cx="95250" cy="74295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2</xdr:col>
      <xdr:colOff>419100</xdr:colOff>
      <xdr:row>41</xdr:row>
      <xdr:rowOff>180976</xdr:rowOff>
    </xdr:from>
    <xdr:to>
      <xdr:col>2</xdr:col>
      <xdr:colOff>495300</xdr:colOff>
      <xdr:row>42</xdr:row>
      <xdr:rowOff>1</xdr:rowOff>
    </xdr:to>
    <xdr:cxnSp macro="">
      <xdr:nvCxnSpPr>
        <xdr:cNvPr id="4" name="Rechte verbindingslijn 3"/>
        <xdr:cNvCxnSpPr>
          <a:stCxn id="2" idx="2"/>
        </xdr:cNvCxnSpPr>
      </xdr:nvCxnSpPr>
      <xdr:spPr>
        <a:xfrm rot="10800000" flipH="1">
          <a:off x="1638300" y="7610476"/>
          <a:ext cx="762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44</xdr:row>
      <xdr:rowOff>123825</xdr:rowOff>
    </xdr:from>
    <xdr:to>
      <xdr:col>7</xdr:col>
      <xdr:colOff>523875</xdr:colOff>
      <xdr:row>59</xdr:row>
      <xdr:rowOff>9525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342900</xdr:colOff>
      <xdr:row>60</xdr:row>
      <xdr:rowOff>123825</xdr:rowOff>
    </xdr:from>
    <xdr:to>
      <xdr:col>4</xdr:col>
      <xdr:colOff>285750</xdr:colOff>
      <xdr:row>60</xdr:row>
      <xdr:rowOff>123825</xdr:rowOff>
    </xdr:to>
    <xdr:cxnSp macro="">
      <xdr:nvCxnSpPr>
        <xdr:cNvPr id="4" name="Rechte verbindingslijn 3"/>
        <xdr:cNvCxnSpPr/>
      </xdr:nvCxnSpPr>
      <xdr:spPr>
        <a:xfrm>
          <a:off x="1562100" y="8724900"/>
          <a:ext cx="11620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314325</xdr:colOff>
      <xdr:row>59</xdr:row>
      <xdr:rowOff>85725</xdr:rowOff>
    </xdr:from>
    <xdr:ext cx="1305037" cy="436786"/>
    <xdr:sp macro="" textlink="">
      <xdr:nvSpPr>
        <xdr:cNvPr id="5" name="Tekstvak 4"/>
        <xdr:cNvSpPr txBox="1"/>
      </xdr:nvSpPr>
      <xdr:spPr>
        <a:xfrm>
          <a:off x="1533525" y="8496300"/>
          <a:ext cx="1305037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-b      </a:t>
          </a:r>
          <a:r>
            <a:rPr lang="nl-NL" sz="1100" b="1" baseline="0"/>
            <a:t> </a:t>
          </a:r>
          <a:r>
            <a:rPr lang="nl-NL" sz="1100" b="1" u="sng"/>
            <a:t>+</a:t>
          </a:r>
          <a:r>
            <a:rPr lang="nl-NL" sz="1100" b="1"/>
            <a:t>  √ (b2 - 4ac)</a:t>
          </a:r>
        </a:p>
        <a:p>
          <a:r>
            <a:rPr lang="nl-NL" sz="1100" b="1"/>
            <a:t>     2a</a:t>
          </a:r>
        </a:p>
      </xdr:txBody>
    </xdr:sp>
    <xdr:clientData/>
  </xdr:oneCellAnchor>
  <xdr:oneCellAnchor>
    <xdr:from>
      <xdr:col>6</xdr:col>
      <xdr:colOff>0</xdr:colOff>
      <xdr:row>59</xdr:row>
      <xdr:rowOff>95250</xdr:rowOff>
    </xdr:from>
    <xdr:ext cx="357662" cy="436786"/>
    <xdr:sp macro="" textlink="">
      <xdr:nvSpPr>
        <xdr:cNvPr id="6" name="Tekstvak 5"/>
        <xdr:cNvSpPr txBox="1"/>
      </xdr:nvSpPr>
      <xdr:spPr>
        <a:xfrm>
          <a:off x="3657600" y="4333875"/>
          <a:ext cx="357662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-b </a:t>
          </a:r>
        </a:p>
        <a:p>
          <a:r>
            <a:rPr lang="nl-NL" sz="1100" b="1"/>
            <a:t> 2a</a:t>
          </a:r>
        </a:p>
      </xdr:txBody>
    </xdr:sp>
    <xdr:clientData/>
  </xdr:oneCellAnchor>
  <xdr:twoCellAnchor>
    <xdr:from>
      <xdr:col>6</xdr:col>
      <xdr:colOff>47625</xdr:colOff>
      <xdr:row>60</xdr:row>
      <xdr:rowOff>123143</xdr:rowOff>
    </xdr:from>
    <xdr:to>
      <xdr:col>6</xdr:col>
      <xdr:colOff>319562</xdr:colOff>
      <xdr:row>60</xdr:row>
      <xdr:rowOff>123143</xdr:rowOff>
    </xdr:to>
    <xdr:cxnSp macro="">
      <xdr:nvCxnSpPr>
        <xdr:cNvPr id="7" name="Rechte verbindingslijn 6"/>
        <xdr:cNvCxnSpPr/>
      </xdr:nvCxnSpPr>
      <xdr:spPr>
        <a:xfrm>
          <a:off x="3705225" y="4552268"/>
          <a:ext cx="27193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466725</xdr:colOff>
      <xdr:row>97</xdr:row>
      <xdr:rowOff>95250</xdr:rowOff>
    </xdr:from>
    <xdr:ext cx="402995" cy="561885"/>
    <xdr:sp macro="" textlink="">
      <xdr:nvSpPr>
        <xdr:cNvPr id="11" name="Tekstvak 10"/>
        <xdr:cNvSpPr txBox="1"/>
      </xdr:nvSpPr>
      <xdr:spPr>
        <a:xfrm>
          <a:off x="2905125" y="17964150"/>
          <a:ext cx="402995" cy="561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000" b="1"/>
            <a:t>   n</a:t>
          </a:r>
        </a:p>
        <a:p>
          <a:endParaRPr lang="nl-NL" sz="1000" b="1"/>
        </a:p>
        <a:p>
          <a:r>
            <a:rPr lang="nl-NL" sz="1000" b="1"/>
            <a:t>i = 1</a:t>
          </a:r>
        </a:p>
      </xdr:txBody>
    </xdr:sp>
    <xdr:clientData/>
  </xdr:oneCellAnchor>
  <xdr:twoCellAnchor>
    <xdr:from>
      <xdr:col>0</xdr:col>
      <xdr:colOff>85725</xdr:colOff>
      <xdr:row>4</xdr:row>
      <xdr:rowOff>28575</xdr:rowOff>
    </xdr:from>
    <xdr:to>
      <xdr:col>7</xdr:col>
      <xdr:colOff>390525</xdr:colOff>
      <xdr:row>18</xdr:row>
      <xdr:rowOff>104775</xdr:rowOff>
    </xdr:to>
    <xdr:graphicFrame macro="">
      <xdr:nvGraphicFramePr>
        <xdr:cNvPr id="15" name="Grafiek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19050</xdr:colOff>
      <xdr:row>10</xdr:row>
      <xdr:rowOff>47625</xdr:rowOff>
    </xdr:from>
    <xdr:ext cx="262380" cy="264560"/>
    <xdr:sp macro="" textlink="">
      <xdr:nvSpPr>
        <xdr:cNvPr id="16" name="Tekstvak 15"/>
        <xdr:cNvSpPr txBox="1"/>
      </xdr:nvSpPr>
      <xdr:spPr>
        <a:xfrm>
          <a:off x="4286250" y="2143125"/>
          <a:ext cx="2623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X</a:t>
          </a:r>
        </a:p>
      </xdr:txBody>
    </xdr:sp>
    <xdr:clientData/>
  </xdr:oneCellAnchor>
  <xdr:oneCellAnchor>
    <xdr:from>
      <xdr:col>3</xdr:col>
      <xdr:colOff>85725</xdr:colOff>
      <xdr:row>4</xdr:row>
      <xdr:rowOff>142875</xdr:rowOff>
    </xdr:from>
    <xdr:ext cx="257956" cy="264560"/>
    <xdr:sp macro="" textlink="">
      <xdr:nvSpPr>
        <xdr:cNvPr id="17" name="Tekstvak 16"/>
        <xdr:cNvSpPr txBox="1"/>
      </xdr:nvSpPr>
      <xdr:spPr>
        <a:xfrm>
          <a:off x="1914525" y="1095375"/>
          <a:ext cx="25795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Y</a:t>
          </a:r>
        </a:p>
      </xdr:txBody>
    </xdr:sp>
    <xdr:clientData/>
  </xdr:oneCellAnchor>
  <xdr:oneCellAnchor>
    <xdr:from>
      <xdr:col>1</xdr:col>
      <xdr:colOff>76200</xdr:colOff>
      <xdr:row>50</xdr:row>
      <xdr:rowOff>47625</xdr:rowOff>
    </xdr:from>
    <xdr:ext cx="1241878" cy="264560"/>
    <xdr:sp macro="" textlink="">
      <xdr:nvSpPr>
        <xdr:cNvPr id="18" name="Tekstvak 17"/>
        <xdr:cNvSpPr txBox="1"/>
      </xdr:nvSpPr>
      <xdr:spPr>
        <a:xfrm>
          <a:off x="685800" y="5791200"/>
          <a:ext cx="12418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solidFill>
                <a:srgbClr val="0070C0"/>
              </a:solidFill>
            </a:rPr>
            <a:t>Y = 2 X</a:t>
          </a:r>
          <a:r>
            <a:rPr lang="nl-NL" sz="1100" b="1" baseline="30000">
              <a:solidFill>
                <a:srgbClr val="0070C0"/>
              </a:solidFill>
            </a:rPr>
            <a:t>2 </a:t>
          </a:r>
          <a:r>
            <a:rPr lang="nl-NL" sz="1100" b="1">
              <a:solidFill>
                <a:srgbClr val="0070C0"/>
              </a:solidFill>
            </a:rPr>
            <a:t>+ 17 X +32</a:t>
          </a:r>
        </a:p>
      </xdr:txBody>
    </xdr:sp>
    <xdr:clientData/>
  </xdr:oneCellAnchor>
  <xdr:oneCellAnchor>
    <xdr:from>
      <xdr:col>5</xdr:col>
      <xdr:colOff>457200</xdr:colOff>
      <xdr:row>48</xdr:row>
      <xdr:rowOff>38100</xdr:rowOff>
    </xdr:from>
    <xdr:ext cx="1277337" cy="264560"/>
    <xdr:sp macro="" textlink="">
      <xdr:nvSpPr>
        <xdr:cNvPr id="19" name="Tekstvak 18"/>
        <xdr:cNvSpPr txBox="1"/>
      </xdr:nvSpPr>
      <xdr:spPr>
        <a:xfrm>
          <a:off x="3505200" y="6353175"/>
          <a:ext cx="12773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solidFill>
                <a:srgbClr val="C00000"/>
              </a:solidFill>
            </a:rPr>
            <a:t>Y = - 4 X</a:t>
          </a:r>
          <a:r>
            <a:rPr lang="nl-NL" sz="1100" b="1" baseline="30000">
              <a:solidFill>
                <a:srgbClr val="C00000"/>
              </a:solidFill>
            </a:rPr>
            <a:t>2 </a:t>
          </a:r>
          <a:r>
            <a:rPr lang="nl-NL" sz="1100" b="1">
              <a:solidFill>
                <a:srgbClr val="C00000"/>
              </a:solidFill>
            </a:rPr>
            <a:t>+ 30 X + 5</a:t>
          </a:r>
        </a:p>
      </xdr:txBody>
    </xdr:sp>
    <xdr:clientData/>
  </xdr:oneCellAnchor>
  <xdr:twoCellAnchor>
    <xdr:from>
      <xdr:col>4</xdr:col>
      <xdr:colOff>57150</xdr:colOff>
      <xdr:row>5</xdr:row>
      <xdr:rowOff>28575</xdr:rowOff>
    </xdr:from>
    <xdr:to>
      <xdr:col>4</xdr:col>
      <xdr:colOff>247650</xdr:colOff>
      <xdr:row>6</xdr:row>
      <xdr:rowOff>161925</xdr:rowOff>
    </xdr:to>
    <xdr:sp macro="" textlink="">
      <xdr:nvSpPr>
        <xdr:cNvPr id="13" name="Rechthoek 12"/>
        <xdr:cNvSpPr/>
      </xdr:nvSpPr>
      <xdr:spPr>
        <a:xfrm>
          <a:off x="2495550" y="1171575"/>
          <a:ext cx="190500" cy="323850"/>
        </a:xfrm>
        <a:prstGeom prst="rect">
          <a:avLst/>
        </a:prstGeom>
        <a:noFill/>
        <a:ln w="15875"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0</xdr:col>
      <xdr:colOff>209550</xdr:colOff>
      <xdr:row>13</xdr:row>
      <xdr:rowOff>142875</xdr:rowOff>
    </xdr:from>
    <xdr:to>
      <xdr:col>0</xdr:col>
      <xdr:colOff>400050</xdr:colOff>
      <xdr:row>15</xdr:row>
      <xdr:rowOff>85725</xdr:rowOff>
    </xdr:to>
    <xdr:sp macro="" textlink="">
      <xdr:nvSpPr>
        <xdr:cNvPr id="14" name="Rechthoek 13"/>
        <xdr:cNvSpPr/>
      </xdr:nvSpPr>
      <xdr:spPr>
        <a:xfrm>
          <a:off x="209550" y="2809875"/>
          <a:ext cx="190500" cy="323850"/>
        </a:xfrm>
        <a:prstGeom prst="rect">
          <a:avLst/>
        </a:prstGeom>
        <a:noFill/>
        <a:ln w="15875"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0</xdr:col>
      <xdr:colOff>142875</xdr:colOff>
      <xdr:row>6</xdr:row>
      <xdr:rowOff>76200</xdr:rowOff>
    </xdr:from>
    <xdr:to>
      <xdr:col>4</xdr:col>
      <xdr:colOff>371475</xdr:colOff>
      <xdr:row>13</xdr:row>
      <xdr:rowOff>180975</xdr:rowOff>
    </xdr:to>
    <xdr:cxnSp macro="">
      <xdr:nvCxnSpPr>
        <xdr:cNvPr id="21" name="Rechte verbindingslijn 20"/>
        <xdr:cNvCxnSpPr/>
      </xdr:nvCxnSpPr>
      <xdr:spPr>
        <a:xfrm flipV="1">
          <a:off x="142875" y="1409700"/>
          <a:ext cx="2667000" cy="1438275"/>
        </a:xfrm>
        <a:prstGeom prst="line">
          <a:avLst/>
        </a:prstGeom>
        <a:ln>
          <a:solidFill>
            <a:srgbClr val="FF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333375</xdr:colOff>
      <xdr:row>4</xdr:row>
      <xdr:rowOff>133351</xdr:rowOff>
    </xdr:from>
    <xdr:to>
      <xdr:col>4</xdr:col>
      <xdr:colOff>142875</xdr:colOff>
      <xdr:row>15</xdr:row>
      <xdr:rowOff>142875</xdr:rowOff>
    </xdr:to>
    <xdr:cxnSp macro="">
      <xdr:nvCxnSpPr>
        <xdr:cNvPr id="27" name="Rechte verbindingslijn 26"/>
        <xdr:cNvCxnSpPr/>
      </xdr:nvCxnSpPr>
      <xdr:spPr>
        <a:xfrm flipV="1">
          <a:off x="333375" y="1085851"/>
          <a:ext cx="2247900" cy="2105024"/>
        </a:xfrm>
        <a:prstGeom prst="line">
          <a:avLst/>
        </a:prstGeom>
        <a:ln>
          <a:solidFill>
            <a:srgbClr val="FF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47625</xdr:colOff>
      <xdr:row>5</xdr:row>
      <xdr:rowOff>152400</xdr:rowOff>
    </xdr:from>
    <xdr:ext cx="256160" cy="264560"/>
    <xdr:sp macro="" textlink="">
      <xdr:nvSpPr>
        <xdr:cNvPr id="31" name="Tekstvak 30"/>
        <xdr:cNvSpPr txBox="1"/>
      </xdr:nvSpPr>
      <xdr:spPr>
        <a:xfrm>
          <a:off x="3705225" y="1295400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solidFill>
                <a:schemeClr val="tx2"/>
              </a:solidFill>
            </a:rPr>
            <a:t>2</a:t>
          </a:r>
        </a:p>
      </xdr:txBody>
    </xdr:sp>
    <xdr:clientData/>
  </xdr:oneCellAnchor>
  <xdr:oneCellAnchor>
    <xdr:from>
      <xdr:col>2</xdr:col>
      <xdr:colOff>9525</xdr:colOff>
      <xdr:row>13</xdr:row>
      <xdr:rowOff>114300</xdr:rowOff>
    </xdr:from>
    <xdr:ext cx="256160" cy="264560"/>
    <xdr:sp macro="" textlink="">
      <xdr:nvSpPr>
        <xdr:cNvPr id="32" name="Tekstvak 31"/>
        <xdr:cNvSpPr txBox="1"/>
      </xdr:nvSpPr>
      <xdr:spPr>
        <a:xfrm>
          <a:off x="1228725" y="2781300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solidFill>
                <a:schemeClr val="tx2"/>
              </a:solidFill>
            </a:rPr>
            <a:t>1</a:t>
          </a:r>
        </a:p>
      </xdr:txBody>
    </xdr:sp>
    <xdr:clientData/>
  </xdr:oneCellAnchor>
  <xdr:twoCellAnchor>
    <xdr:from>
      <xdr:col>4</xdr:col>
      <xdr:colOff>47625</xdr:colOff>
      <xdr:row>20</xdr:row>
      <xdr:rowOff>104775</xdr:rowOff>
    </xdr:from>
    <xdr:to>
      <xdr:col>4</xdr:col>
      <xdr:colOff>295275</xdr:colOff>
      <xdr:row>20</xdr:row>
      <xdr:rowOff>106363</xdr:rowOff>
    </xdr:to>
    <xdr:cxnSp macro="">
      <xdr:nvCxnSpPr>
        <xdr:cNvPr id="35" name="Rechte verbindingslijn met pijl 34"/>
        <xdr:cNvCxnSpPr/>
      </xdr:nvCxnSpPr>
      <xdr:spPr>
        <a:xfrm>
          <a:off x="2486025" y="3914775"/>
          <a:ext cx="247650" cy="1588"/>
        </a:xfrm>
        <a:prstGeom prst="straightConnector1">
          <a:avLst/>
        </a:prstGeom>
        <a:ln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64</xdr:row>
      <xdr:rowOff>142875</xdr:rowOff>
    </xdr:from>
    <xdr:to>
      <xdr:col>4</xdr:col>
      <xdr:colOff>400050</xdr:colOff>
      <xdr:row>64</xdr:row>
      <xdr:rowOff>144463</xdr:rowOff>
    </xdr:to>
    <xdr:cxnSp macro="">
      <xdr:nvCxnSpPr>
        <xdr:cNvPr id="38" name="Rechte verbindingslijn met pijl 37"/>
        <xdr:cNvCxnSpPr/>
      </xdr:nvCxnSpPr>
      <xdr:spPr>
        <a:xfrm>
          <a:off x="2552700" y="5800725"/>
          <a:ext cx="285750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80</xdr:row>
      <xdr:rowOff>38099</xdr:rowOff>
    </xdr:from>
    <xdr:to>
      <xdr:col>9</xdr:col>
      <xdr:colOff>190500</xdr:colOff>
      <xdr:row>96</xdr:row>
      <xdr:rowOff>142875</xdr:rowOff>
    </xdr:to>
    <xdr:graphicFrame macro="">
      <xdr:nvGraphicFramePr>
        <xdr:cNvPr id="22" name="Grafiek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361948</xdr:colOff>
      <xdr:row>82</xdr:row>
      <xdr:rowOff>47624</xdr:rowOff>
    </xdr:from>
    <xdr:to>
      <xdr:col>12</xdr:col>
      <xdr:colOff>323849</xdr:colOff>
      <xdr:row>89</xdr:row>
      <xdr:rowOff>38100</xdr:rowOff>
    </xdr:to>
    <xdr:sp macro="" textlink="">
      <xdr:nvSpPr>
        <xdr:cNvPr id="23" name="Tekstvak 22"/>
        <xdr:cNvSpPr txBox="1"/>
      </xdr:nvSpPr>
      <xdr:spPr>
        <a:xfrm>
          <a:off x="5238748" y="15440024"/>
          <a:ext cx="2400301" cy="13239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100" b="1">
              <a:solidFill>
                <a:srgbClr val="FF00FF"/>
              </a:solidFill>
            </a:rPr>
            <a:t>EXCEL POLYNOOM  </a:t>
          </a:r>
        </a:p>
        <a:p>
          <a:r>
            <a:rPr lang="nl-NL" sz="1100" b="1">
              <a:solidFill>
                <a:srgbClr val="FF00FF"/>
              </a:solidFill>
            </a:rPr>
            <a:t>VOLGORDE</a:t>
          </a:r>
          <a:r>
            <a:rPr lang="nl-NL" sz="1100" b="1" baseline="0">
              <a:solidFill>
                <a:srgbClr val="FF00FF"/>
              </a:solidFill>
            </a:rPr>
            <a:t> = 6</a:t>
          </a:r>
        </a:p>
        <a:p>
          <a:r>
            <a:rPr lang="nl-NL" sz="1100" b="1" baseline="0">
              <a:solidFill>
                <a:srgbClr val="FF00FF"/>
              </a:solidFill>
            </a:rPr>
            <a:t>= 6</a:t>
          </a:r>
          <a:r>
            <a:rPr lang="nl-NL" sz="1100" b="1" baseline="30000">
              <a:solidFill>
                <a:srgbClr val="FF00FF"/>
              </a:solidFill>
            </a:rPr>
            <a:t>e</a:t>
          </a:r>
          <a:r>
            <a:rPr lang="nl-NL" sz="1100" b="1" baseline="0">
              <a:solidFill>
                <a:srgbClr val="FF00FF"/>
              </a:solidFill>
            </a:rPr>
            <a:t> GRAADS POLYNOOM</a:t>
          </a:r>
        </a:p>
        <a:p>
          <a:r>
            <a:rPr lang="nl-NL" sz="1100" b="1" baseline="0">
              <a:solidFill>
                <a:srgbClr val="FF00FF"/>
              </a:solidFill>
            </a:rPr>
            <a:t>   HIER EXACT DOOR DE </a:t>
          </a:r>
        </a:p>
        <a:p>
          <a:r>
            <a:rPr lang="nl-NL" sz="1100" b="1" baseline="0">
              <a:solidFill>
                <a:srgbClr val="FF00FF"/>
              </a:solidFill>
            </a:rPr>
            <a:t>   6 PUNTEN </a:t>
          </a:r>
        </a:p>
        <a:p>
          <a:r>
            <a:rPr lang="nl-NL" sz="1100" b="1" baseline="0">
              <a:solidFill>
                <a:srgbClr val="FF00FF"/>
              </a:solidFill>
            </a:rPr>
            <a:t>   BLIJKT IN FEITE 5e GRAADS </a:t>
          </a:r>
        </a:p>
        <a:p>
          <a:r>
            <a:rPr lang="nl-NL" sz="1100" b="1" baseline="0">
              <a:solidFill>
                <a:srgbClr val="FF00FF"/>
              </a:solidFill>
            </a:rPr>
            <a:t>   HIER NIET ZINVOL ?</a:t>
          </a:r>
        </a:p>
        <a:p>
          <a:endParaRPr lang="nl-NL" sz="1100" b="1" baseline="0">
            <a:solidFill>
              <a:srgbClr val="FF00FF"/>
            </a:solidFill>
          </a:endParaRPr>
        </a:p>
        <a:p>
          <a:endParaRPr lang="nl-NL" sz="1100" b="1">
            <a:solidFill>
              <a:srgbClr val="FF00FF"/>
            </a:solidFill>
          </a:endParaRPr>
        </a:p>
      </xdr:txBody>
    </xdr:sp>
    <xdr:clientData/>
  </xdr:twoCellAnchor>
  <xdr:twoCellAnchor>
    <xdr:from>
      <xdr:col>8</xdr:col>
      <xdr:colOff>371474</xdr:colOff>
      <xdr:row>89</xdr:row>
      <xdr:rowOff>47624</xdr:rowOff>
    </xdr:from>
    <xdr:to>
      <xdr:col>11</xdr:col>
      <xdr:colOff>533400</xdr:colOff>
      <xdr:row>93</xdr:row>
      <xdr:rowOff>76199</xdr:rowOff>
    </xdr:to>
    <xdr:sp macro="" textlink="">
      <xdr:nvSpPr>
        <xdr:cNvPr id="24" name="Tekstvak 23"/>
        <xdr:cNvSpPr txBox="1"/>
      </xdr:nvSpPr>
      <xdr:spPr>
        <a:xfrm>
          <a:off x="5248274" y="16773524"/>
          <a:ext cx="1990726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100" b="1">
              <a:solidFill>
                <a:srgbClr val="FF0000"/>
              </a:solidFill>
            </a:rPr>
            <a:t>EXCEL POLYNOOM</a:t>
          </a:r>
        </a:p>
        <a:p>
          <a:r>
            <a:rPr lang="nl-NL" sz="1100" b="1" baseline="0">
              <a:solidFill>
                <a:srgbClr val="FF0000"/>
              </a:solidFill>
            </a:rPr>
            <a:t> </a:t>
          </a:r>
          <a:r>
            <a:rPr lang="nl-NL" sz="1100" b="1">
              <a:solidFill>
                <a:srgbClr val="FF0000"/>
              </a:solidFill>
            </a:rPr>
            <a:t>VOLGORDE</a:t>
          </a:r>
          <a:r>
            <a:rPr lang="nl-NL" sz="1100" b="1" baseline="0">
              <a:solidFill>
                <a:srgbClr val="FF0000"/>
              </a:solidFill>
            </a:rPr>
            <a:t> = 2</a:t>
          </a:r>
        </a:p>
        <a:p>
          <a:r>
            <a:rPr lang="nl-NL" sz="1100" b="1" baseline="0">
              <a:solidFill>
                <a:srgbClr val="FF0000"/>
              </a:solidFill>
            </a:rPr>
            <a:t>= 2</a:t>
          </a:r>
          <a:r>
            <a:rPr lang="nl-NL" sz="1100" b="1" baseline="30000">
              <a:solidFill>
                <a:srgbClr val="FF0000"/>
              </a:solidFill>
            </a:rPr>
            <a:t>e</a:t>
          </a:r>
          <a:r>
            <a:rPr lang="nl-NL" sz="1100" b="1" baseline="0">
              <a:solidFill>
                <a:srgbClr val="FF0000"/>
              </a:solidFill>
            </a:rPr>
            <a:t> GRAADS POLYNOOM</a:t>
          </a:r>
        </a:p>
        <a:p>
          <a:r>
            <a:rPr lang="nl-NL" sz="1100" b="1" baseline="0">
              <a:solidFill>
                <a:srgbClr val="FF0000"/>
              </a:solidFill>
            </a:rPr>
            <a:t>HIER  HET MEEST GESCHIKT ?</a:t>
          </a:r>
        </a:p>
        <a:p>
          <a:endParaRPr lang="nl-NL" sz="1100" b="1">
            <a:solidFill>
              <a:srgbClr val="FF0000"/>
            </a:solidFill>
          </a:endParaRPr>
        </a:p>
      </xdr:txBody>
    </xdr:sp>
    <xdr:clientData/>
  </xdr:twoCellAnchor>
  <xdr:oneCellAnchor>
    <xdr:from>
      <xdr:col>4</xdr:col>
      <xdr:colOff>352425</xdr:colOff>
      <xdr:row>12</xdr:row>
      <xdr:rowOff>142875</xdr:rowOff>
    </xdr:from>
    <xdr:ext cx="821443" cy="436786"/>
    <xdr:sp macro="" textlink="">
      <xdr:nvSpPr>
        <xdr:cNvPr id="28" name="Tekstvak 27"/>
        <xdr:cNvSpPr txBox="1"/>
      </xdr:nvSpPr>
      <xdr:spPr>
        <a:xfrm>
          <a:off x="2790825" y="2428875"/>
          <a:ext cx="821443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solidFill>
                <a:srgbClr val="FF0000"/>
              </a:solidFill>
            </a:rPr>
            <a:t>LINEAIRE </a:t>
          </a:r>
        </a:p>
        <a:p>
          <a:r>
            <a:rPr lang="nl-NL" sz="1100" b="1">
              <a:solidFill>
                <a:srgbClr val="FF0000"/>
              </a:solidFill>
            </a:rPr>
            <a:t>TRENDLIJN</a:t>
          </a:r>
        </a:p>
      </xdr:txBody>
    </xdr:sp>
    <xdr:clientData/>
  </xdr:oneCellAnchor>
  <xdr:oneCellAnchor>
    <xdr:from>
      <xdr:col>4</xdr:col>
      <xdr:colOff>590550</xdr:colOff>
      <xdr:row>4</xdr:row>
      <xdr:rowOff>161925</xdr:rowOff>
    </xdr:from>
    <xdr:ext cx="836704" cy="264560"/>
    <xdr:sp macro="" textlink="">
      <xdr:nvSpPr>
        <xdr:cNvPr id="29" name="Tekstvak 28"/>
        <xdr:cNvSpPr txBox="1"/>
      </xdr:nvSpPr>
      <xdr:spPr>
        <a:xfrm>
          <a:off x="3028950" y="923925"/>
          <a:ext cx="83670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solidFill>
                <a:schemeClr val="tx2"/>
              </a:solidFill>
            </a:rPr>
            <a:t>WISKUNDE</a:t>
          </a:r>
        </a:p>
      </xdr:txBody>
    </xdr:sp>
    <xdr:clientData/>
  </xdr:oneCellAnchor>
  <xdr:twoCellAnchor>
    <xdr:from>
      <xdr:col>2</xdr:col>
      <xdr:colOff>228600</xdr:colOff>
      <xdr:row>84</xdr:row>
      <xdr:rowOff>19051</xdr:rowOff>
    </xdr:from>
    <xdr:to>
      <xdr:col>5</xdr:col>
      <xdr:colOff>247649</xdr:colOff>
      <xdr:row>87</xdr:row>
      <xdr:rowOff>57150</xdr:rowOff>
    </xdr:to>
    <xdr:sp macro="" textlink="">
      <xdr:nvSpPr>
        <xdr:cNvPr id="34" name="Tekstvak 33"/>
        <xdr:cNvSpPr txBox="1"/>
      </xdr:nvSpPr>
      <xdr:spPr>
        <a:xfrm>
          <a:off x="1447800" y="15792451"/>
          <a:ext cx="1847849" cy="6095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100" b="1">
              <a:solidFill>
                <a:srgbClr val="7030A0"/>
              </a:solidFill>
            </a:rPr>
            <a:t>EXCEL LINEAIRE TRENDLIJN = 1</a:t>
          </a:r>
          <a:r>
            <a:rPr lang="nl-NL" sz="1100" b="1" baseline="30000">
              <a:solidFill>
                <a:srgbClr val="7030A0"/>
              </a:solidFill>
            </a:rPr>
            <a:t>e</a:t>
          </a:r>
          <a:r>
            <a:rPr lang="nl-NL" sz="1100" b="1" baseline="0">
              <a:solidFill>
                <a:srgbClr val="7030A0"/>
              </a:solidFill>
            </a:rPr>
            <a:t> GRAADS POLYNOOM</a:t>
          </a:r>
        </a:p>
        <a:p>
          <a:r>
            <a:rPr lang="nl-NL" sz="1100" b="1" baseline="0">
              <a:solidFill>
                <a:srgbClr val="7030A0"/>
              </a:solidFill>
            </a:rPr>
            <a:t>HIER NIET GESCHIKT</a:t>
          </a:r>
        </a:p>
        <a:p>
          <a:endParaRPr lang="nl-NL" sz="1100" b="1">
            <a:solidFill>
              <a:srgbClr val="7030A0"/>
            </a:solidFill>
          </a:endParaRPr>
        </a:p>
      </xdr:txBody>
    </xdr:sp>
    <xdr:clientData/>
  </xdr:twoCellAnchor>
  <xdr:twoCellAnchor>
    <xdr:from>
      <xdr:col>2</xdr:col>
      <xdr:colOff>424769</xdr:colOff>
      <xdr:row>59</xdr:row>
      <xdr:rowOff>49133</xdr:rowOff>
    </xdr:from>
    <xdr:to>
      <xdr:col>3</xdr:col>
      <xdr:colOff>52941</xdr:colOff>
      <xdr:row>61</xdr:row>
      <xdr:rowOff>153099</xdr:rowOff>
    </xdr:to>
    <xdr:sp macro="" textlink="">
      <xdr:nvSpPr>
        <xdr:cNvPr id="33" name="Ovaal 32"/>
        <xdr:cNvSpPr/>
      </xdr:nvSpPr>
      <xdr:spPr>
        <a:xfrm rot="2817438">
          <a:off x="1501322" y="8602355"/>
          <a:ext cx="523066" cy="237772"/>
        </a:xfrm>
        <a:prstGeom prst="ellipse">
          <a:avLst/>
        </a:prstGeom>
        <a:noFill/>
        <a:ln w="15875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3</xdr:col>
      <xdr:colOff>209550</xdr:colOff>
      <xdr:row>61</xdr:row>
      <xdr:rowOff>9525</xdr:rowOff>
    </xdr:from>
    <xdr:to>
      <xdr:col>5</xdr:col>
      <xdr:colOff>571500</xdr:colOff>
      <xdr:row>61</xdr:row>
      <xdr:rowOff>28575</xdr:rowOff>
    </xdr:to>
    <xdr:cxnSp macro="">
      <xdr:nvCxnSpPr>
        <xdr:cNvPr id="37" name="Rechte verbindingslijn met pijl 36"/>
        <xdr:cNvCxnSpPr/>
      </xdr:nvCxnSpPr>
      <xdr:spPr>
        <a:xfrm flipV="1">
          <a:off x="2038350" y="8839200"/>
          <a:ext cx="1581150" cy="19050"/>
        </a:xfrm>
        <a:prstGeom prst="straightConnector1">
          <a:avLst/>
        </a:prstGeom>
        <a:ln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304800</xdr:colOff>
      <xdr:row>51</xdr:row>
      <xdr:rowOff>123825</xdr:rowOff>
    </xdr:from>
    <xdr:ext cx="256160" cy="264560"/>
    <xdr:sp macro="" textlink="">
      <xdr:nvSpPr>
        <xdr:cNvPr id="41" name="Tekstvak 40"/>
        <xdr:cNvSpPr txBox="1"/>
      </xdr:nvSpPr>
      <xdr:spPr>
        <a:xfrm>
          <a:off x="2743200" y="7010400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solidFill>
                <a:srgbClr val="FF0000"/>
              </a:solidFill>
            </a:rPr>
            <a:t>1</a:t>
          </a:r>
        </a:p>
      </xdr:txBody>
    </xdr:sp>
    <xdr:clientData/>
  </xdr:oneCellAnchor>
  <xdr:oneCellAnchor>
    <xdr:from>
      <xdr:col>5</xdr:col>
      <xdr:colOff>171450</xdr:colOff>
      <xdr:row>49</xdr:row>
      <xdr:rowOff>47625</xdr:rowOff>
    </xdr:from>
    <xdr:ext cx="256160" cy="264560"/>
    <xdr:sp macro="" textlink="">
      <xdr:nvSpPr>
        <xdr:cNvPr id="42" name="Tekstvak 41"/>
        <xdr:cNvSpPr txBox="1"/>
      </xdr:nvSpPr>
      <xdr:spPr>
        <a:xfrm>
          <a:off x="3219450" y="6553200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solidFill>
                <a:srgbClr val="FF0000"/>
              </a:solidFill>
            </a:rPr>
            <a:t>2</a:t>
          </a:r>
        </a:p>
      </xdr:txBody>
    </xdr:sp>
    <xdr:clientData/>
  </xdr:oneCellAnchor>
  <xdr:oneCellAnchor>
    <xdr:from>
      <xdr:col>6</xdr:col>
      <xdr:colOff>276225</xdr:colOff>
      <xdr:row>55</xdr:row>
      <xdr:rowOff>66675</xdr:rowOff>
    </xdr:from>
    <xdr:ext cx="256160" cy="264560"/>
    <xdr:sp macro="" textlink="">
      <xdr:nvSpPr>
        <xdr:cNvPr id="43" name="Tekstvak 42"/>
        <xdr:cNvSpPr txBox="1"/>
      </xdr:nvSpPr>
      <xdr:spPr>
        <a:xfrm>
          <a:off x="3933825" y="7715250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solidFill>
                <a:srgbClr val="FF0000"/>
              </a:solidFill>
            </a:rPr>
            <a:t>3</a:t>
          </a:r>
        </a:p>
      </xdr:txBody>
    </xdr:sp>
    <xdr:clientData/>
  </xdr:oneCellAnchor>
  <xdr:oneCellAnchor>
    <xdr:from>
      <xdr:col>2</xdr:col>
      <xdr:colOff>238125</xdr:colOff>
      <xdr:row>53</xdr:row>
      <xdr:rowOff>171450</xdr:rowOff>
    </xdr:from>
    <xdr:ext cx="418704" cy="264560"/>
    <xdr:sp macro="" textlink="">
      <xdr:nvSpPr>
        <xdr:cNvPr id="44" name="Tekstvak 43"/>
        <xdr:cNvSpPr txBox="1"/>
      </xdr:nvSpPr>
      <xdr:spPr>
        <a:xfrm>
          <a:off x="1457325" y="7439025"/>
          <a:ext cx="41870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solidFill>
                <a:schemeClr val="accent1"/>
              </a:solidFill>
            </a:rPr>
            <a:t>DAL</a:t>
          </a:r>
        </a:p>
      </xdr:txBody>
    </xdr:sp>
    <xdr:clientData/>
  </xdr:oneCellAnchor>
  <xdr:oneCellAnchor>
    <xdr:from>
      <xdr:col>5</xdr:col>
      <xdr:colOff>57150</xdr:colOff>
      <xdr:row>50</xdr:row>
      <xdr:rowOff>47625</xdr:rowOff>
    </xdr:from>
    <xdr:ext cx="501869" cy="264560"/>
    <xdr:sp macro="" textlink="">
      <xdr:nvSpPr>
        <xdr:cNvPr id="45" name="Tekstvak 44"/>
        <xdr:cNvSpPr txBox="1"/>
      </xdr:nvSpPr>
      <xdr:spPr>
        <a:xfrm>
          <a:off x="3105150" y="6743700"/>
          <a:ext cx="5018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solidFill>
                <a:srgbClr val="FF0000"/>
              </a:solidFill>
            </a:rPr>
            <a:t>BERG</a:t>
          </a:r>
        </a:p>
      </xdr:txBody>
    </xdr:sp>
    <xdr:clientData/>
  </xdr:oneCellAnchor>
  <xdr:twoCellAnchor>
    <xdr:from>
      <xdr:col>1</xdr:col>
      <xdr:colOff>405495</xdr:colOff>
      <xdr:row>80</xdr:row>
      <xdr:rowOff>47629</xdr:rowOff>
    </xdr:from>
    <xdr:to>
      <xdr:col>1</xdr:col>
      <xdr:colOff>533404</xdr:colOff>
      <xdr:row>80</xdr:row>
      <xdr:rowOff>170379</xdr:rowOff>
    </xdr:to>
    <xdr:sp macro="" textlink="">
      <xdr:nvSpPr>
        <xdr:cNvPr id="36" name="Rechthoek 35"/>
        <xdr:cNvSpPr/>
      </xdr:nvSpPr>
      <xdr:spPr>
        <a:xfrm rot="16200000">
          <a:off x="1017675" y="14675449"/>
          <a:ext cx="122750" cy="127909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13</xdr:row>
      <xdr:rowOff>85725</xdr:rowOff>
    </xdr:from>
    <xdr:to>
      <xdr:col>7</xdr:col>
      <xdr:colOff>523875</xdr:colOff>
      <xdr:row>27</xdr:row>
      <xdr:rowOff>161925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200025</xdr:colOff>
      <xdr:row>23</xdr:row>
      <xdr:rowOff>133350</xdr:rowOff>
    </xdr:from>
    <xdr:ext cx="1620508" cy="436786"/>
    <xdr:sp macro="" textlink="">
      <xdr:nvSpPr>
        <xdr:cNvPr id="12" name="Tekstvak 11"/>
        <xdr:cNvSpPr txBox="1"/>
      </xdr:nvSpPr>
      <xdr:spPr>
        <a:xfrm>
          <a:off x="2638425" y="6496050"/>
          <a:ext cx="162050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solidFill>
                <a:srgbClr val="0070C0"/>
              </a:solidFill>
            </a:rPr>
            <a:t>log</a:t>
          </a:r>
          <a:r>
            <a:rPr lang="nl-NL" sz="1100" b="1" baseline="0">
              <a:solidFill>
                <a:srgbClr val="0070C0"/>
              </a:solidFill>
            </a:rPr>
            <a:t> </a:t>
          </a:r>
          <a:r>
            <a:rPr lang="nl-NL" sz="1100" b="1">
              <a:solidFill>
                <a:srgbClr val="0070C0"/>
              </a:solidFill>
            </a:rPr>
            <a:t>Y = log ( 2 * 0,2^X) </a:t>
          </a:r>
        </a:p>
        <a:p>
          <a:r>
            <a:rPr lang="nl-NL" sz="1100" b="1" baseline="0">
              <a:solidFill>
                <a:srgbClr val="0070C0"/>
              </a:solidFill>
            </a:rPr>
            <a:t>          = log 2 + X * log 0,2</a:t>
          </a:r>
          <a:endParaRPr lang="nl-NL" sz="1100" b="1">
            <a:solidFill>
              <a:srgbClr val="0070C0"/>
            </a:solidFill>
          </a:endParaRPr>
        </a:p>
      </xdr:txBody>
    </xdr:sp>
    <xdr:clientData/>
  </xdr:oneCellAnchor>
  <xdr:oneCellAnchor>
    <xdr:from>
      <xdr:col>5</xdr:col>
      <xdr:colOff>142875</xdr:colOff>
      <xdr:row>19</xdr:row>
      <xdr:rowOff>9525</xdr:rowOff>
    </xdr:from>
    <xdr:ext cx="1647887" cy="436786"/>
    <xdr:sp macro="" textlink="">
      <xdr:nvSpPr>
        <xdr:cNvPr id="13" name="Tekstvak 12"/>
        <xdr:cNvSpPr txBox="1"/>
      </xdr:nvSpPr>
      <xdr:spPr>
        <a:xfrm>
          <a:off x="3190875" y="5610225"/>
          <a:ext cx="1647887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solidFill>
                <a:srgbClr val="C00000"/>
              </a:solidFill>
            </a:rPr>
            <a:t>log Y = log ( 12 * 6^X)</a:t>
          </a:r>
        </a:p>
        <a:p>
          <a:r>
            <a:rPr lang="nl-NL" sz="1100" b="1">
              <a:solidFill>
                <a:srgbClr val="C00000"/>
              </a:solidFill>
            </a:rPr>
            <a:t>          = log 12 +  X * log 6</a:t>
          </a:r>
        </a:p>
      </xdr:txBody>
    </xdr:sp>
    <xdr:clientData/>
  </xdr:oneCellAnchor>
  <xdr:twoCellAnchor>
    <xdr:from>
      <xdr:col>0</xdr:col>
      <xdr:colOff>219075</xdr:colOff>
      <xdr:row>36</xdr:row>
      <xdr:rowOff>85725</xdr:rowOff>
    </xdr:from>
    <xdr:to>
      <xdr:col>7</xdr:col>
      <xdr:colOff>523875</xdr:colOff>
      <xdr:row>51</xdr:row>
      <xdr:rowOff>142875</xdr:rowOff>
    </xdr:to>
    <xdr:graphicFrame macro="">
      <xdr:nvGraphicFramePr>
        <xdr:cNvPr id="15" name="Grafiek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295275</xdr:colOff>
      <xdr:row>47</xdr:row>
      <xdr:rowOff>104775</xdr:rowOff>
    </xdr:from>
    <xdr:ext cx="1397434" cy="436786"/>
    <xdr:sp macro="" textlink="">
      <xdr:nvSpPr>
        <xdr:cNvPr id="16" name="Tekstvak 15"/>
        <xdr:cNvSpPr txBox="1"/>
      </xdr:nvSpPr>
      <xdr:spPr>
        <a:xfrm>
          <a:off x="2733675" y="10277475"/>
          <a:ext cx="139743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solidFill>
                <a:srgbClr val="0070C0"/>
              </a:solidFill>
            </a:rPr>
            <a:t>Y = log ( 2 * 0,2^X) </a:t>
          </a:r>
        </a:p>
        <a:p>
          <a:r>
            <a:rPr lang="nl-NL" sz="1100" b="1" baseline="0">
              <a:solidFill>
                <a:srgbClr val="0070C0"/>
              </a:solidFill>
            </a:rPr>
            <a:t>   = log 2 + X * log 0,2</a:t>
          </a:r>
          <a:endParaRPr lang="nl-NL" sz="1100" b="1">
            <a:solidFill>
              <a:srgbClr val="0070C0"/>
            </a:solidFill>
          </a:endParaRPr>
        </a:p>
      </xdr:txBody>
    </xdr:sp>
    <xdr:clientData/>
  </xdr:oneCellAnchor>
  <xdr:oneCellAnchor>
    <xdr:from>
      <xdr:col>4</xdr:col>
      <xdr:colOff>590550</xdr:colOff>
      <xdr:row>43</xdr:row>
      <xdr:rowOff>9525</xdr:rowOff>
    </xdr:from>
    <xdr:ext cx="1647887" cy="436786"/>
    <xdr:sp macro="" textlink="">
      <xdr:nvSpPr>
        <xdr:cNvPr id="17" name="Tekstvak 16"/>
        <xdr:cNvSpPr txBox="1"/>
      </xdr:nvSpPr>
      <xdr:spPr>
        <a:xfrm>
          <a:off x="3028950" y="9420225"/>
          <a:ext cx="1647887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solidFill>
                <a:srgbClr val="C00000"/>
              </a:solidFill>
            </a:rPr>
            <a:t>       Y = log ( 12 * 6^X)</a:t>
          </a:r>
        </a:p>
        <a:p>
          <a:r>
            <a:rPr lang="nl-NL" sz="1100" b="1">
              <a:solidFill>
                <a:srgbClr val="C00000"/>
              </a:solidFill>
            </a:rPr>
            <a:t>          = log 12 +  X * log 6</a:t>
          </a:r>
        </a:p>
      </xdr:txBody>
    </xdr:sp>
    <xdr:clientData/>
  </xdr:oneCellAnchor>
  <xdr:oneCellAnchor>
    <xdr:from>
      <xdr:col>1</xdr:col>
      <xdr:colOff>200025</xdr:colOff>
      <xdr:row>38</xdr:row>
      <xdr:rowOff>161925</xdr:rowOff>
    </xdr:from>
    <xdr:ext cx="1162049" cy="609013"/>
    <xdr:sp macro="" textlink="">
      <xdr:nvSpPr>
        <xdr:cNvPr id="8" name="Tekstvak 7"/>
        <xdr:cNvSpPr txBox="1"/>
      </xdr:nvSpPr>
      <xdr:spPr>
        <a:xfrm>
          <a:off x="809625" y="6524625"/>
          <a:ext cx="1162049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Y OP </a:t>
          </a:r>
        </a:p>
        <a:p>
          <a:r>
            <a:rPr lang="nl-NL" sz="1100" b="1"/>
            <a:t>LOGARITMISCHE</a:t>
          </a:r>
        </a:p>
        <a:p>
          <a:r>
            <a:rPr lang="nl-NL" sz="1100" b="1"/>
            <a:t> SCHAAL</a:t>
          </a:r>
        </a:p>
      </xdr:txBody>
    </xdr:sp>
    <xdr:clientData/>
  </xdr:oneCellAnchor>
  <xdr:twoCellAnchor>
    <xdr:from>
      <xdr:col>0</xdr:col>
      <xdr:colOff>304800</xdr:colOff>
      <xdr:row>15</xdr:row>
      <xdr:rowOff>95249</xdr:rowOff>
    </xdr:from>
    <xdr:to>
      <xdr:col>1</xdr:col>
      <xdr:colOff>28578</xdr:colOff>
      <xdr:row>24</xdr:row>
      <xdr:rowOff>66674</xdr:rowOff>
    </xdr:to>
    <xdr:sp macro="" textlink="">
      <xdr:nvSpPr>
        <xdr:cNvPr id="9" name="Tekstvak 8"/>
        <xdr:cNvSpPr txBox="1"/>
      </xdr:nvSpPr>
      <xdr:spPr>
        <a:xfrm rot="16200000">
          <a:off x="-371474" y="2943223"/>
          <a:ext cx="1685925" cy="3333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100" b="1"/>
            <a:t>Log Y Op Lineaire Schaal</a:t>
          </a:r>
        </a:p>
      </xdr:txBody>
    </xdr:sp>
    <xdr:clientData/>
  </xdr:twoCellAnchor>
  <xdr:twoCellAnchor>
    <xdr:from>
      <xdr:col>0</xdr:col>
      <xdr:colOff>285755</xdr:colOff>
      <xdr:row>38</xdr:row>
      <xdr:rowOff>161928</xdr:rowOff>
    </xdr:from>
    <xdr:to>
      <xdr:col>1</xdr:col>
      <xdr:colOff>9533</xdr:colOff>
      <xdr:row>48</xdr:row>
      <xdr:rowOff>85729</xdr:rowOff>
    </xdr:to>
    <xdr:sp macro="" textlink="">
      <xdr:nvSpPr>
        <xdr:cNvPr id="10" name="Tekstvak 9"/>
        <xdr:cNvSpPr txBox="1"/>
      </xdr:nvSpPr>
      <xdr:spPr>
        <a:xfrm rot="16200000">
          <a:off x="-461957" y="6700840"/>
          <a:ext cx="1828801" cy="3333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100" b="1"/>
            <a:t> Y Op Logaritmische  Schaal</a:t>
          </a:r>
        </a:p>
      </xdr:txBody>
    </xdr:sp>
    <xdr:clientData/>
  </xdr:twoCellAnchor>
  <xdr:twoCellAnchor>
    <xdr:from>
      <xdr:col>0</xdr:col>
      <xdr:colOff>9525</xdr:colOff>
      <xdr:row>83</xdr:row>
      <xdr:rowOff>9525</xdr:rowOff>
    </xdr:from>
    <xdr:to>
      <xdr:col>6</xdr:col>
      <xdr:colOff>133350</xdr:colOff>
      <xdr:row>97</xdr:row>
      <xdr:rowOff>85725</xdr:rowOff>
    </xdr:to>
    <xdr:graphicFrame macro="">
      <xdr:nvGraphicFramePr>
        <xdr:cNvPr id="20" name="Grafiek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209551</xdr:colOff>
      <xdr:row>83</xdr:row>
      <xdr:rowOff>9525</xdr:rowOff>
    </xdr:from>
    <xdr:to>
      <xdr:col>12</xdr:col>
      <xdr:colOff>114301</xdr:colOff>
      <xdr:row>97</xdr:row>
      <xdr:rowOff>85725</xdr:rowOff>
    </xdr:to>
    <xdr:graphicFrame macro="">
      <xdr:nvGraphicFramePr>
        <xdr:cNvPr id="21" name="Grafiek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323850</xdr:colOff>
      <xdr:row>17</xdr:row>
      <xdr:rowOff>28575</xdr:rowOff>
    </xdr:from>
    <xdr:to>
      <xdr:col>7</xdr:col>
      <xdr:colOff>381000</xdr:colOff>
      <xdr:row>18</xdr:row>
      <xdr:rowOff>28575</xdr:rowOff>
    </xdr:to>
    <xdr:cxnSp macro="">
      <xdr:nvCxnSpPr>
        <xdr:cNvPr id="18" name="Rechte verbindingslijn met pijl 17"/>
        <xdr:cNvCxnSpPr/>
      </xdr:nvCxnSpPr>
      <xdr:spPr>
        <a:xfrm>
          <a:off x="3981450" y="3343275"/>
          <a:ext cx="666750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542925</xdr:colOff>
      <xdr:row>20</xdr:row>
      <xdr:rowOff>9525</xdr:rowOff>
    </xdr:from>
    <xdr:to>
      <xdr:col>9</xdr:col>
      <xdr:colOff>123825</xdr:colOff>
      <xdr:row>20</xdr:row>
      <xdr:rowOff>104775</xdr:rowOff>
    </xdr:to>
    <xdr:cxnSp macro="">
      <xdr:nvCxnSpPr>
        <xdr:cNvPr id="22" name="Rechte verbindingslijn 21"/>
        <xdr:cNvCxnSpPr/>
      </xdr:nvCxnSpPr>
      <xdr:spPr>
        <a:xfrm rot="10800000" flipV="1">
          <a:off x="4810125" y="3895725"/>
          <a:ext cx="914400" cy="95250"/>
        </a:xfrm>
        <a:prstGeom prst="line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0.49792</cdr:x>
      <cdr:y>0.15686</cdr:y>
    </cdr:from>
    <cdr:to>
      <cdr:x>0.94375</cdr:x>
      <cdr:y>0.47059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2276475" y="457200"/>
          <a:ext cx="20383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100" b="1"/>
            <a:t>Y    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0.6707</cdr:x>
      <cdr:y>0.77431</cdr:y>
    </cdr:from>
    <cdr:to>
      <cdr:x>0.90315</cdr:x>
      <cdr:y>0.88889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2638425" y="2124074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100" b="1"/>
            <a:t>Log X</a:t>
          </a:r>
        </a:p>
      </cdr:txBody>
    </cdr:sp>
  </cdr:relSizeAnchor>
  <cdr:relSizeAnchor xmlns:cdr="http://schemas.openxmlformats.org/drawingml/2006/chartDrawing">
    <cdr:from>
      <cdr:x>0.11622</cdr:x>
      <cdr:y>0.04167</cdr:y>
    </cdr:from>
    <cdr:to>
      <cdr:x>0.34867</cdr:x>
      <cdr:y>0.15625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457200" y="114300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 b="1"/>
            <a:t>Log Y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0.64301</cdr:x>
      <cdr:y>0.78472</cdr:y>
    </cdr:from>
    <cdr:to>
      <cdr:x>0.84301</cdr:x>
      <cdr:y>0.89931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2364105" y="2152650"/>
          <a:ext cx="73533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NL" sz="1100" b="1"/>
            <a:t>X</a:t>
          </a:r>
        </a:p>
      </cdr:txBody>
    </cdr:sp>
  </cdr:relSizeAnchor>
  <cdr:relSizeAnchor xmlns:cdr="http://schemas.openxmlformats.org/drawingml/2006/chartDrawing">
    <cdr:from>
      <cdr:x>0.12275</cdr:x>
      <cdr:y>0.05556</cdr:y>
    </cdr:from>
    <cdr:to>
      <cdr:x>0.32275</cdr:x>
      <cdr:y>0.17014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451326" y="152400"/>
          <a:ext cx="73533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 b="1"/>
            <a:t>Log Y</a:t>
          </a:r>
        </a:p>
        <a:p xmlns:a="http://schemas.openxmlformats.org/drawingml/2006/main">
          <a:endParaRPr lang="nl-NL" sz="1100" b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37</xdr:row>
      <xdr:rowOff>76200</xdr:rowOff>
    </xdr:from>
    <xdr:to>
      <xdr:col>10</xdr:col>
      <xdr:colOff>247650</xdr:colOff>
      <xdr:row>63</xdr:row>
      <xdr:rowOff>0</xdr:rowOff>
    </xdr:to>
    <xdr:pic>
      <xdr:nvPicPr>
        <xdr:cNvPr id="2" name="Afbeelding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" y="5581650"/>
          <a:ext cx="8181976" cy="487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333375</xdr:colOff>
      <xdr:row>17</xdr:row>
      <xdr:rowOff>180975</xdr:rowOff>
    </xdr:from>
    <xdr:to>
      <xdr:col>11</xdr:col>
      <xdr:colOff>152400</xdr:colOff>
      <xdr:row>27</xdr:row>
      <xdr:rowOff>161925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809625</xdr:colOff>
      <xdr:row>26</xdr:row>
      <xdr:rowOff>38100</xdr:rowOff>
    </xdr:from>
    <xdr:to>
      <xdr:col>0</xdr:col>
      <xdr:colOff>904875</xdr:colOff>
      <xdr:row>26</xdr:row>
      <xdr:rowOff>38100</xdr:rowOff>
    </xdr:to>
    <xdr:cxnSp macro="">
      <xdr:nvCxnSpPr>
        <xdr:cNvPr id="7" name="Rechte verbindingslijn 6"/>
        <xdr:cNvCxnSpPr/>
      </xdr:nvCxnSpPr>
      <xdr:spPr>
        <a:xfrm>
          <a:off x="809625" y="3543300"/>
          <a:ext cx="952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21</xdr:row>
      <xdr:rowOff>161925</xdr:rowOff>
    </xdr:from>
    <xdr:to>
      <xdr:col>10</xdr:col>
      <xdr:colOff>400050</xdr:colOff>
      <xdr:row>21</xdr:row>
      <xdr:rowOff>161925</xdr:rowOff>
    </xdr:to>
    <xdr:cxnSp macro="">
      <xdr:nvCxnSpPr>
        <xdr:cNvPr id="10" name="Rechte verbindingslijn 9"/>
        <xdr:cNvCxnSpPr/>
      </xdr:nvCxnSpPr>
      <xdr:spPr>
        <a:xfrm>
          <a:off x="6696075" y="2714625"/>
          <a:ext cx="952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24</xdr:row>
      <xdr:rowOff>47625</xdr:rowOff>
    </xdr:from>
    <xdr:to>
      <xdr:col>10</xdr:col>
      <xdr:colOff>400050</xdr:colOff>
      <xdr:row>24</xdr:row>
      <xdr:rowOff>47625</xdr:rowOff>
    </xdr:to>
    <xdr:cxnSp macro="">
      <xdr:nvCxnSpPr>
        <xdr:cNvPr id="11" name="Rechte verbindingslijn 10"/>
        <xdr:cNvCxnSpPr/>
      </xdr:nvCxnSpPr>
      <xdr:spPr>
        <a:xfrm>
          <a:off x="6696075" y="3171825"/>
          <a:ext cx="952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28</xdr:row>
      <xdr:rowOff>38100</xdr:rowOff>
    </xdr:from>
    <xdr:to>
      <xdr:col>0</xdr:col>
      <xdr:colOff>114300</xdr:colOff>
      <xdr:row>28</xdr:row>
      <xdr:rowOff>38100</xdr:rowOff>
    </xdr:to>
    <xdr:cxnSp macro="">
      <xdr:nvCxnSpPr>
        <xdr:cNvPr id="12" name="Rechte verbindingslijn 11"/>
        <xdr:cNvCxnSpPr/>
      </xdr:nvCxnSpPr>
      <xdr:spPr>
        <a:xfrm>
          <a:off x="19050" y="3962400"/>
          <a:ext cx="952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495300</xdr:colOff>
      <xdr:row>168</xdr:row>
      <xdr:rowOff>85725</xdr:rowOff>
    </xdr:from>
    <xdr:to>
      <xdr:col>1</xdr:col>
      <xdr:colOff>495300</xdr:colOff>
      <xdr:row>169</xdr:row>
      <xdr:rowOff>142875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 flipV="1">
          <a:off x="1200150" y="640080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457200</xdr:colOff>
      <xdr:row>167</xdr:row>
      <xdr:rowOff>152400</xdr:rowOff>
    </xdr:from>
    <xdr:to>
      <xdr:col>6</xdr:col>
      <xdr:colOff>457200</xdr:colOff>
      <xdr:row>169</xdr:row>
      <xdr:rowOff>19050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 flipV="1">
          <a:off x="5257800" y="353377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95250</xdr:colOff>
      <xdr:row>147</xdr:row>
      <xdr:rowOff>0</xdr:rowOff>
    </xdr:from>
    <xdr:to>
      <xdr:col>1</xdr:col>
      <xdr:colOff>409575</xdr:colOff>
      <xdr:row>147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 flipV="1">
          <a:off x="1657350" y="691515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147</xdr:row>
      <xdr:rowOff>0</xdr:rowOff>
    </xdr:from>
    <xdr:to>
      <xdr:col>2</xdr:col>
      <xdr:colOff>476250</xdr:colOff>
      <xdr:row>147</xdr:row>
      <xdr:rowOff>0</xdr:rowOff>
    </xdr:to>
    <xdr:sp macro="" textlink="">
      <xdr:nvSpPr>
        <xdr:cNvPr id="14" name="Line 2"/>
        <xdr:cNvSpPr>
          <a:spLocks noChangeShapeType="1"/>
        </xdr:cNvSpPr>
      </xdr:nvSpPr>
      <xdr:spPr bwMode="auto">
        <a:xfrm>
          <a:off x="2181225" y="691515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147</xdr:row>
      <xdr:rowOff>0</xdr:rowOff>
    </xdr:from>
    <xdr:to>
      <xdr:col>4</xdr:col>
      <xdr:colOff>552450</xdr:colOff>
      <xdr:row>147</xdr:row>
      <xdr:rowOff>0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3476625" y="691515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115</xdr:row>
      <xdr:rowOff>0</xdr:rowOff>
    </xdr:from>
    <xdr:to>
      <xdr:col>1</xdr:col>
      <xdr:colOff>409575</xdr:colOff>
      <xdr:row>115</xdr:row>
      <xdr:rowOff>0</xdr:rowOff>
    </xdr:to>
    <xdr:sp macro="" textlink="">
      <xdr:nvSpPr>
        <xdr:cNvPr id="16" name="Line 43"/>
        <xdr:cNvSpPr>
          <a:spLocks noChangeShapeType="1"/>
        </xdr:cNvSpPr>
      </xdr:nvSpPr>
      <xdr:spPr bwMode="auto">
        <a:xfrm>
          <a:off x="1685925" y="161925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115</xdr:row>
      <xdr:rowOff>0</xdr:rowOff>
    </xdr:from>
    <xdr:to>
      <xdr:col>4</xdr:col>
      <xdr:colOff>514350</xdr:colOff>
      <xdr:row>115</xdr:row>
      <xdr:rowOff>0</xdr:rowOff>
    </xdr:to>
    <xdr:sp macro="" textlink="">
      <xdr:nvSpPr>
        <xdr:cNvPr id="17" name="Line 46"/>
        <xdr:cNvSpPr>
          <a:spLocks noChangeShapeType="1"/>
        </xdr:cNvSpPr>
      </xdr:nvSpPr>
      <xdr:spPr bwMode="auto">
        <a:xfrm>
          <a:off x="3409950" y="1619250"/>
          <a:ext cx="504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533400</xdr:colOff>
      <xdr:row>115</xdr:row>
      <xdr:rowOff>0</xdr:rowOff>
    </xdr:from>
    <xdr:to>
      <xdr:col>6</xdr:col>
      <xdr:colOff>676275</xdr:colOff>
      <xdr:row>115</xdr:row>
      <xdr:rowOff>0</xdr:rowOff>
    </xdr:to>
    <xdr:sp macro="" textlink="">
      <xdr:nvSpPr>
        <xdr:cNvPr id="18" name="Line 47"/>
        <xdr:cNvSpPr>
          <a:spLocks noChangeShapeType="1"/>
        </xdr:cNvSpPr>
      </xdr:nvSpPr>
      <xdr:spPr bwMode="auto">
        <a:xfrm>
          <a:off x="4543425" y="1619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130</xdr:row>
      <xdr:rowOff>0</xdr:rowOff>
    </xdr:from>
    <xdr:to>
      <xdr:col>1</xdr:col>
      <xdr:colOff>438150</xdr:colOff>
      <xdr:row>130</xdr:row>
      <xdr:rowOff>9525</xdr:rowOff>
    </xdr:to>
    <xdr:sp macro="" textlink="">
      <xdr:nvSpPr>
        <xdr:cNvPr id="19" name="Line 48"/>
        <xdr:cNvSpPr>
          <a:spLocks noChangeShapeType="1"/>
        </xdr:cNvSpPr>
      </xdr:nvSpPr>
      <xdr:spPr bwMode="auto">
        <a:xfrm flipV="1">
          <a:off x="1590675" y="4086225"/>
          <a:ext cx="4095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130</xdr:row>
      <xdr:rowOff>0</xdr:rowOff>
    </xdr:from>
    <xdr:to>
      <xdr:col>2</xdr:col>
      <xdr:colOff>361950</xdr:colOff>
      <xdr:row>130</xdr:row>
      <xdr:rowOff>0</xdr:rowOff>
    </xdr:to>
    <xdr:sp macro="" textlink="">
      <xdr:nvSpPr>
        <xdr:cNvPr id="20" name="Line 49"/>
        <xdr:cNvSpPr>
          <a:spLocks noChangeShapeType="1"/>
        </xdr:cNvSpPr>
      </xdr:nvSpPr>
      <xdr:spPr bwMode="auto">
        <a:xfrm>
          <a:off x="2219325" y="4086225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523875</xdr:colOff>
      <xdr:row>130</xdr:row>
      <xdr:rowOff>0</xdr:rowOff>
    </xdr:from>
    <xdr:to>
      <xdr:col>4</xdr:col>
      <xdr:colOff>419100</xdr:colOff>
      <xdr:row>130</xdr:row>
      <xdr:rowOff>0</xdr:rowOff>
    </xdr:to>
    <xdr:sp macro="" textlink="">
      <xdr:nvSpPr>
        <xdr:cNvPr id="21" name="Line 51"/>
        <xdr:cNvSpPr>
          <a:spLocks noChangeShapeType="1"/>
        </xdr:cNvSpPr>
      </xdr:nvSpPr>
      <xdr:spPr bwMode="auto">
        <a:xfrm>
          <a:off x="3314700" y="4086225"/>
          <a:ext cx="504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115</xdr:row>
      <xdr:rowOff>0</xdr:rowOff>
    </xdr:from>
    <xdr:to>
      <xdr:col>2</xdr:col>
      <xdr:colOff>476250</xdr:colOff>
      <xdr:row>115</xdr:row>
      <xdr:rowOff>0</xdr:rowOff>
    </xdr:to>
    <xdr:sp macro="" textlink="">
      <xdr:nvSpPr>
        <xdr:cNvPr id="22" name="Line 53"/>
        <xdr:cNvSpPr>
          <a:spLocks noChangeShapeType="1"/>
        </xdr:cNvSpPr>
      </xdr:nvSpPr>
      <xdr:spPr bwMode="auto">
        <a:xfrm>
          <a:off x="2295525" y="16192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118</xdr:row>
      <xdr:rowOff>19050</xdr:rowOff>
    </xdr:from>
    <xdr:to>
      <xdr:col>6</xdr:col>
      <xdr:colOff>161925</xdr:colOff>
      <xdr:row>118</xdr:row>
      <xdr:rowOff>19050</xdr:rowOff>
    </xdr:to>
    <xdr:sp macro="" textlink="">
      <xdr:nvSpPr>
        <xdr:cNvPr id="23" name="Line 54"/>
        <xdr:cNvSpPr>
          <a:spLocks noChangeShapeType="1"/>
        </xdr:cNvSpPr>
      </xdr:nvSpPr>
      <xdr:spPr bwMode="auto">
        <a:xfrm>
          <a:off x="4686300" y="212407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38100</xdr:colOff>
      <xdr:row>130</xdr:row>
      <xdr:rowOff>0</xdr:rowOff>
    </xdr:from>
    <xdr:to>
      <xdr:col>7</xdr:col>
      <xdr:colOff>104775</xdr:colOff>
      <xdr:row>130</xdr:row>
      <xdr:rowOff>0</xdr:rowOff>
    </xdr:to>
    <xdr:sp macro="" textlink="">
      <xdr:nvSpPr>
        <xdr:cNvPr id="24" name="Line 55"/>
        <xdr:cNvSpPr>
          <a:spLocks noChangeShapeType="1"/>
        </xdr:cNvSpPr>
      </xdr:nvSpPr>
      <xdr:spPr bwMode="auto">
        <a:xfrm>
          <a:off x="4657725" y="408622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104775</xdr:colOff>
      <xdr:row>135</xdr:row>
      <xdr:rowOff>57150</xdr:rowOff>
    </xdr:from>
    <xdr:to>
      <xdr:col>6</xdr:col>
      <xdr:colOff>200025</xdr:colOff>
      <xdr:row>135</xdr:row>
      <xdr:rowOff>57150</xdr:rowOff>
    </xdr:to>
    <xdr:sp macro="" textlink="">
      <xdr:nvSpPr>
        <xdr:cNvPr id="25" name="Line 56"/>
        <xdr:cNvSpPr>
          <a:spLocks noChangeShapeType="1"/>
        </xdr:cNvSpPr>
      </xdr:nvSpPr>
      <xdr:spPr bwMode="auto">
        <a:xfrm>
          <a:off x="4724400" y="495300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533400</xdr:colOff>
      <xdr:row>130</xdr:row>
      <xdr:rowOff>0</xdr:rowOff>
    </xdr:from>
    <xdr:to>
      <xdr:col>3</xdr:col>
      <xdr:colOff>419100</xdr:colOff>
      <xdr:row>130</xdr:row>
      <xdr:rowOff>0</xdr:rowOff>
    </xdr:to>
    <xdr:sp macro="" textlink="">
      <xdr:nvSpPr>
        <xdr:cNvPr id="26" name="Line 57"/>
        <xdr:cNvSpPr>
          <a:spLocks noChangeShapeType="1"/>
        </xdr:cNvSpPr>
      </xdr:nvSpPr>
      <xdr:spPr bwMode="auto">
        <a:xfrm>
          <a:off x="2714625" y="4086225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904875</xdr:colOff>
      <xdr:row>151</xdr:row>
      <xdr:rowOff>28575</xdr:rowOff>
    </xdr:from>
    <xdr:to>
      <xdr:col>2</xdr:col>
      <xdr:colOff>609600</xdr:colOff>
      <xdr:row>151</xdr:row>
      <xdr:rowOff>28575</xdr:rowOff>
    </xdr:to>
    <xdr:sp macro="" textlink="">
      <xdr:nvSpPr>
        <xdr:cNvPr id="27" name="Line 58"/>
        <xdr:cNvSpPr>
          <a:spLocks noChangeShapeType="1"/>
        </xdr:cNvSpPr>
      </xdr:nvSpPr>
      <xdr:spPr bwMode="auto">
        <a:xfrm>
          <a:off x="2790825" y="7591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190500</xdr:colOff>
      <xdr:row>153</xdr:row>
      <xdr:rowOff>57150</xdr:rowOff>
    </xdr:from>
    <xdr:to>
      <xdr:col>6</xdr:col>
      <xdr:colOff>285750</xdr:colOff>
      <xdr:row>153</xdr:row>
      <xdr:rowOff>57150</xdr:rowOff>
    </xdr:to>
    <xdr:sp macro="" textlink="">
      <xdr:nvSpPr>
        <xdr:cNvPr id="28" name="Line 59"/>
        <xdr:cNvSpPr>
          <a:spLocks noChangeShapeType="1"/>
        </xdr:cNvSpPr>
      </xdr:nvSpPr>
      <xdr:spPr bwMode="auto">
        <a:xfrm>
          <a:off x="4810125" y="802005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57150</xdr:colOff>
      <xdr:row>147</xdr:row>
      <xdr:rowOff>0</xdr:rowOff>
    </xdr:from>
    <xdr:to>
      <xdr:col>7</xdr:col>
      <xdr:colOff>257175</xdr:colOff>
      <xdr:row>147</xdr:row>
      <xdr:rowOff>0</xdr:rowOff>
    </xdr:to>
    <xdr:sp macro="" textlink="">
      <xdr:nvSpPr>
        <xdr:cNvPr id="29" name="Line 78"/>
        <xdr:cNvSpPr>
          <a:spLocks noChangeShapeType="1"/>
        </xdr:cNvSpPr>
      </xdr:nvSpPr>
      <xdr:spPr bwMode="auto">
        <a:xfrm>
          <a:off x="4676775" y="691515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238125</xdr:colOff>
      <xdr:row>134</xdr:row>
      <xdr:rowOff>9525</xdr:rowOff>
    </xdr:from>
    <xdr:to>
      <xdr:col>2</xdr:col>
      <xdr:colOff>333375</xdr:colOff>
      <xdr:row>134</xdr:row>
      <xdr:rowOff>19050</xdr:rowOff>
    </xdr:to>
    <xdr:sp macro="" textlink="">
      <xdr:nvSpPr>
        <xdr:cNvPr id="30" name="Line 80"/>
        <xdr:cNvSpPr>
          <a:spLocks noChangeShapeType="1"/>
        </xdr:cNvSpPr>
      </xdr:nvSpPr>
      <xdr:spPr bwMode="auto">
        <a:xfrm flipH="1">
          <a:off x="2419350" y="4743450"/>
          <a:ext cx="952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1057275</xdr:colOff>
      <xdr:row>117</xdr:row>
      <xdr:rowOff>19050</xdr:rowOff>
    </xdr:from>
    <xdr:to>
      <xdr:col>0</xdr:col>
      <xdr:colOff>1123950</xdr:colOff>
      <xdr:row>117</xdr:row>
      <xdr:rowOff>19050</xdr:rowOff>
    </xdr:to>
    <xdr:sp macro="" textlink="">
      <xdr:nvSpPr>
        <xdr:cNvPr id="31" name="Line 81"/>
        <xdr:cNvSpPr>
          <a:spLocks noChangeShapeType="1"/>
        </xdr:cNvSpPr>
      </xdr:nvSpPr>
      <xdr:spPr bwMode="auto">
        <a:xfrm flipH="1">
          <a:off x="1057275" y="19621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552450</xdr:colOff>
      <xdr:row>147</xdr:row>
      <xdr:rowOff>0</xdr:rowOff>
    </xdr:from>
    <xdr:to>
      <xdr:col>3</xdr:col>
      <xdr:colOff>581025</xdr:colOff>
      <xdr:row>147</xdr:row>
      <xdr:rowOff>0</xdr:rowOff>
    </xdr:to>
    <xdr:sp macro="" textlink="">
      <xdr:nvSpPr>
        <xdr:cNvPr id="32" name="Line 83"/>
        <xdr:cNvSpPr>
          <a:spLocks noChangeShapeType="1"/>
        </xdr:cNvSpPr>
      </xdr:nvSpPr>
      <xdr:spPr bwMode="auto">
        <a:xfrm flipH="1">
          <a:off x="2733675" y="691515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904875</xdr:colOff>
      <xdr:row>152</xdr:row>
      <xdr:rowOff>28575</xdr:rowOff>
    </xdr:from>
    <xdr:to>
      <xdr:col>2</xdr:col>
      <xdr:colOff>609600</xdr:colOff>
      <xdr:row>152</xdr:row>
      <xdr:rowOff>28575</xdr:rowOff>
    </xdr:to>
    <xdr:sp macro="" textlink="">
      <xdr:nvSpPr>
        <xdr:cNvPr id="33" name="Line 94"/>
        <xdr:cNvSpPr>
          <a:spLocks noChangeShapeType="1"/>
        </xdr:cNvSpPr>
      </xdr:nvSpPr>
      <xdr:spPr bwMode="auto">
        <a:xfrm>
          <a:off x="2790825" y="779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28575</xdr:colOff>
      <xdr:row>217</xdr:row>
      <xdr:rowOff>171450</xdr:rowOff>
    </xdr:from>
    <xdr:to>
      <xdr:col>6</xdr:col>
      <xdr:colOff>607695</xdr:colOff>
      <xdr:row>250</xdr:row>
      <xdr:rowOff>8810</xdr:rowOff>
    </xdr:to>
    <xdr:pic>
      <xdr:nvPicPr>
        <xdr:cNvPr id="35" name="Afbeelding 34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575" y="39357300"/>
          <a:ext cx="5760720" cy="612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419100</xdr:colOff>
      <xdr:row>220</xdr:row>
      <xdr:rowOff>152400</xdr:rowOff>
    </xdr:from>
    <xdr:ext cx="1714499" cy="438149"/>
    <xdr:sp macro="" textlink="">
      <xdr:nvSpPr>
        <xdr:cNvPr id="36" name="Tekstvak 35"/>
        <xdr:cNvSpPr txBox="1"/>
      </xdr:nvSpPr>
      <xdr:spPr>
        <a:xfrm>
          <a:off x="3143250" y="39909750"/>
          <a:ext cx="1714499" cy="43814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 b="1"/>
            <a:t>BOVENSTE PUNT  BUITEN</a:t>
          </a:r>
          <a:r>
            <a:rPr lang="nl-NL" sz="1100" b="1" baseline="0"/>
            <a:t> BESCHOUWING LATEN</a:t>
          </a:r>
          <a:endParaRPr lang="nl-NL" sz="1100" b="1"/>
        </a:p>
      </xdr:txBody>
    </xdr:sp>
    <xdr:clientData/>
  </xdr:oneCellAnchor>
  <xdr:twoCellAnchor>
    <xdr:from>
      <xdr:col>2</xdr:col>
      <xdr:colOff>9525</xdr:colOff>
      <xdr:row>11</xdr:row>
      <xdr:rowOff>47625</xdr:rowOff>
    </xdr:from>
    <xdr:to>
      <xdr:col>2</xdr:col>
      <xdr:colOff>123825</xdr:colOff>
      <xdr:row>11</xdr:row>
      <xdr:rowOff>47625</xdr:rowOff>
    </xdr:to>
    <xdr:cxnSp macro="">
      <xdr:nvCxnSpPr>
        <xdr:cNvPr id="37" name="Rechte verbindingslijn 36"/>
        <xdr:cNvCxnSpPr/>
      </xdr:nvCxnSpPr>
      <xdr:spPr>
        <a:xfrm>
          <a:off x="2124075" y="2143125"/>
          <a:ext cx="114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104774</xdr:colOff>
      <xdr:row>2</xdr:row>
      <xdr:rowOff>123825</xdr:rowOff>
    </xdr:from>
    <xdr:to>
      <xdr:col>10</xdr:col>
      <xdr:colOff>533399</xdr:colOff>
      <xdr:row>17</xdr:row>
      <xdr:rowOff>180975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0</xdr:colOff>
      <xdr:row>12</xdr:row>
      <xdr:rowOff>142875</xdr:rowOff>
    </xdr:from>
    <xdr:ext cx="548420" cy="264560"/>
    <xdr:sp macro="" textlink="">
      <xdr:nvSpPr>
        <xdr:cNvPr id="3" name="Tekstvak 2"/>
        <xdr:cNvSpPr txBox="1"/>
      </xdr:nvSpPr>
      <xdr:spPr>
        <a:xfrm>
          <a:off x="4267200" y="2238375"/>
          <a:ext cx="5484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latin typeface="Calibri"/>
            </a:rPr>
            <a:t>X</a:t>
          </a:r>
          <a:r>
            <a:rPr lang="nl-NL" sz="1100" b="1" baseline="-25000">
              <a:latin typeface="Calibri"/>
            </a:rPr>
            <a:t>g </a:t>
          </a:r>
          <a:r>
            <a:rPr lang="nl-NL" sz="1100" b="1">
              <a:latin typeface="Calibri"/>
            </a:rPr>
            <a:t> , </a:t>
          </a:r>
          <a:r>
            <a:rPr lang="el-GR" sz="1100" b="1">
              <a:latin typeface="Calibri"/>
            </a:rPr>
            <a:t>σ</a:t>
          </a:r>
          <a:r>
            <a:rPr lang="nl-NL" sz="1100" b="1" baseline="-25000">
              <a:latin typeface="Calibri"/>
            </a:rPr>
            <a:t>x</a:t>
          </a:r>
          <a:endParaRPr lang="nl-NL" sz="1100" b="1" baseline="-25000"/>
        </a:p>
      </xdr:txBody>
    </xdr:sp>
    <xdr:clientData/>
  </xdr:oneCellAnchor>
  <xdr:oneCellAnchor>
    <xdr:from>
      <xdr:col>3</xdr:col>
      <xdr:colOff>352425</xdr:colOff>
      <xdr:row>8</xdr:row>
      <xdr:rowOff>66675</xdr:rowOff>
    </xdr:from>
    <xdr:ext cx="545342" cy="264560"/>
    <xdr:sp macro="" textlink="">
      <xdr:nvSpPr>
        <xdr:cNvPr id="4" name="Tekstvak 3"/>
        <xdr:cNvSpPr txBox="1"/>
      </xdr:nvSpPr>
      <xdr:spPr>
        <a:xfrm>
          <a:off x="2181225" y="1400175"/>
          <a:ext cx="5453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>
              <a:latin typeface="Calibri"/>
            </a:rPr>
            <a:t>Y</a:t>
          </a:r>
          <a:r>
            <a:rPr lang="nl-NL" sz="1100" b="1" baseline="-25000">
              <a:latin typeface="Calibri"/>
            </a:rPr>
            <a:t>g </a:t>
          </a:r>
          <a:r>
            <a:rPr lang="nl-NL" sz="1100" b="1">
              <a:latin typeface="Calibri"/>
            </a:rPr>
            <a:t> , </a:t>
          </a:r>
          <a:r>
            <a:rPr lang="el-GR" sz="1100" b="1">
              <a:latin typeface="Calibri"/>
            </a:rPr>
            <a:t>σ</a:t>
          </a:r>
          <a:r>
            <a:rPr lang="nl-NL" sz="1100" b="1" baseline="-25000">
              <a:latin typeface="Calibri"/>
            </a:rPr>
            <a:t>y</a:t>
          </a:r>
          <a:endParaRPr lang="nl-NL" sz="1100" b="1" baseline="-25000"/>
        </a:p>
      </xdr:txBody>
    </xdr:sp>
    <xdr:clientData/>
  </xdr:oneCellAnchor>
  <xdr:oneCellAnchor>
    <xdr:from>
      <xdr:col>10</xdr:col>
      <xdr:colOff>0</xdr:colOff>
      <xdr:row>6</xdr:row>
      <xdr:rowOff>104775</xdr:rowOff>
    </xdr:from>
    <xdr:ext cx="1383649" cy="436786"/>
    <xdr:sp macro="" textlink="">
      <xdr:nvSpPr>
        <xdr:cNvPr id="5" name="Tekstvak 4"/>
        <xdr:cNvSpPr txBox="1"/>
      </xdr:nvSpPr>
      <xdr:spPr>
        <a:xfrm>
          <a:off x="6096000" y="1057275"/>
          <a:ext cx="1383649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 i="0" u="none" strike="noStrike">
              <a:solidFill>
                <a:srgbClr val="0070C0"/>
              </a:solidFill>
              <a:latin typeface="+mn-lt"/>
              <a:ea typeface="+mn-ea"/>
              <a:cs typeface="+mn-cs"/>
            </a:rPr>
            <a:t>LINEAIRE TRENDLIJN</a:t>
          </a:r>
        </a:p>
        <a:p>
          <a:r>
            <a:rPr lang="nl-NL" sz="1100" b="1" i="0" u="none" strike="noStrike">
              <a:solidFill>
                <a:srgbClr val="0070C0"/>
              </a:solidFill>
              <a:latin typeface="+mn-lt"/>
              <a:ea typeface="+mn-ea"/>
              <a:cs typeface="+mn-cs"/>
            </a:rPr>
            <a:t>Y = 0,76*X + 1,93</a:t>
          </a:r>
          <a:r>
            <a:rPr lang="nl-NL" b="1">
              <a:solidFill>
                <a:srgbClr val="0070C0"/>
              </a:solidFill>
            </a:rPr>
            <a:t> </a:t>
          </a:r>
          <a:endParaRPr lang="nl-NL" sz="1100" b="1">
            <a:solidFill>
              <a:srgbClr val="0070C0"/>
            </a:solidFill>
          </a:endParaRPr>
        </a:p>
      </xdr:txBody>
    </xdr:sp>
    <xdr:clientData/>
  </xdr:oneCellAnchor>
  <xdr:oneCellAnchor>
    <xdr:from>
      <xdr:col>10</xdr:col>
      <xdr:colOff>19050</xdr:colOff>
      <xdr:row>4</xdr:row>
      <xdr:rowOff>66675</xdr:rowOff>
    </xdr:from>
    <xdr:ext cx="1180451" cy="436786"/>
    <xdr:sp macro="" textlink="">
      <xdr:nvSpPr>
        <xdr:cNvPr id="6" name="Tekstvak 5"/>
        <xdr:cNvSpPr txBox="1"/>
      </xdr:nvSpPr>
      <xdr:spPr>
        <a:xfrm>
          <a:off x="6115050" y="638175"/>
          <a:ext cx="118045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X = 0,88*Y + 0,12</a:t>
          </a:r>
        </a:p>
        <a:p>
          <a:r>
            <a:rPr lang="nl-NL" sz="1100" b="1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Y = 1,13*X - 0,14</a:t>
          </a:r>
          <a:r>
            <a:rPr lang="nl-NL" b="1">
              <a:solidFill>
                <a:srgbClr val="FF0000"/>
              </a:solidFill>
            </a:rPr>
            <a:t> </a:t>
          </a:r>
          <a:endParaRPr lang="nl-NL" sz="1100" b="1">
            <a:solidFill>
              <a:srgbClr val="FF0000"/>
            </a:solidFill>
          </a:endParaRPr>
        </a:p>
      </xdr:txBody>
    </xdr:sp>
    <xdr:clientData/>
  </xdr:oneCellAnchor>
  <xdr:twoCellAnchor>
    <xdr:from>
      <xdr:col>4</xdr:col>
      <xdr:colOff>381000</xdr:colOff>
      <xdr:row>12</xdr:row>
      <xdr:rowOff>47625</xdr:rowOff>
    </xdr:from>
    <xdr:to>
      <xdr:col>5</xdr:col>
      <xdr:colOff>247650</xdr:colOff>
      <xdr:row>12</xdr:row>
      <xdr:rowOff>49213</xdr:rowOff>
    </xdr:to>
    <xdr:cxnSp macro="">
      <xdr:nvCxnSpPr>
        <xdr:cNvPr id="8" name="Rechte verbindingslijn met pijl 7"/>
        <xdr:cNvCxnSpPr/>
      </xdr:nvCxnSpPr>
      <xdr:spPr>
        <a:xfrm>
          <a:off x="2819400" y="2143125"/>
          <a:ext cx="476250" cy="1588"/>
        </a:xfrm>
        <a:prstGeom prst="straightConnector1">
          <a:avLst/>
        </a:prstGeom>
        <a:ln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228600</xdr:colOff>
      <xdr:row>11</xdr:row>
      <xdr:rowOff>95250</xdr:rowOff>
    </xdr:from>
    <xdr:ext cx="355162" cy="264560"/>
    <xdr:sp macro="" textlink="">
      <xdr:nvSpPr>
        <xdr:cNvPr id="9" name="Tekstvak 8"/>
        <xdr:cNvSpPr txBox="1"/>
      </xdr:nvSpPr>
      <xdr:spPr>
        <a:xfrm>
          <a:off x="3276600" y="2000250"/>
          <a:ext cx="3551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l-GR" sz="1100" b="1">
              <a:solidFill>
                <a:srgbClr val="FF0000"/>
              </a:solidFill>
              <a:latin typeface="Calibri"/>
            </a:rPr>
            <a:t>σ</a:t>
          </a:r>
          <a:r>
            <a:rPr lang="nl-NL" sz="1100" b="1" baseline="-25000">
              <a:solidFill>
                <a:srgbClr val="FF0000"/>
              </a:solidFill>
              <a:latin typeface="Calibri"/>
            </a:rPr>
            <a:t>dx</a:t>
          </a:r>
          <a:endParaRPr lang="nl-NL" sz="1100" b="1" baseline="-25000">
            <a:solidFill>
              <a:srgbClr val="FF0000"/>
            </a:solidFill>
          </a:endParaRPr>
        </a:p>
      </xdr:txBody>
    </xdr:sp>
    <xdr:clientData/>
  </xdr:oneCellAnchor>
  <xdr:twoCellAnchor>
    <xdr:from>
      <xdr:col>9</xdr:col>
      <xdr:colOff>189706</xdr:colOff>
      <xdr:row>7</xdr:row>
      <xdr:rowOff>29369</xdr:rowOff>
    </xdr:from>
    <xdr:to>
      <xdr:col>9</xdr:col>
      <xdr:colOff>191294</xdr:colOff>
      <xdr:row>8</xdr:row>
      <xdr:rowOff>124619</xdr:rowOff>
    </xdr:to>
    <xdr:cxnSp macro="">
      <xdr:nvCxnSpPr>
        <xdr:cNvPr id="12" name="Rechte verbindingslijn met pijl 11"/>
        <xdr:cNvCxnSpPr/>
      </xdr:nvCxnSpPr>
      <xdr:spPr>
        <a:xfrm rot="5400000">
          <a:off x="5534025" y="1314450"/>
          <a:ext cx="2857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19050</xdr:colOff>
      <xdr:row>8</xdr:row>
      <xdr:rowOff>57150</xdr:rowOff>
    </xdr:from>
    <xdr:ext cx="356508" cy="264560"/>
    <xdr:sp macro="" textlink="">
      <xdr:nvSpPr>
        <xdr:cNvPr id="13" name="Tekstvak 12"/>
        <xdr:cNvSpPr txBox="1"/>
      </xdr:nvSpPr>
      <xdr:spPr>
        <a:xfrm>
          <a:off x="5505450" y="1390650"/>
          <a:ext cx="3565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l-GR" sz="1100" b="1">
              <a:solidFill>
                <a:srgbClr val="0070C0"/>
              </a:solidFill>
              <a:latin typeface="Calibri"/>
            </a:rPr>
            <a:t>σ</a:t>
          </a:r>
          <a:r>
            <a:rPr lang="nl-NL" sz="1100" b="1" baseline="-25000">
              <a:solidFill>
                <a:srgbClr val="0070C0"/>
              </a:solidFill>
              <a:latin typeface="Calibri"/>
            </a:rPr>
            <a:t>dy</a:t>
          </a:r>
          <a:endParaRPr lang="nl-NL" sz="1100" b="1" baseline="-25000">
            <a:solidFill>
              <a:srgbClr val="0070C0"/>
            </a:solidFill>
          </a:endParaRPr>
        </a:p>
      </xdr:txBody>
    </xdr:sp>
    <xdr:clientData/>
  </xdr:oneCellAnchor>
  <xdr:twoCellAnchor>
    <xdr:from>
      <xdr:col>0</xdr:col>
      <xdr:colOff>381000</xdr:colOff>
      <xdr:row>26</xdr:row>
      <xdr:rowOff>66675</xdr:rowOff>
    </xdr:from>
    <xdr:to>
      <xdr:col>0</xdr:col>
      <xdr:colOff>476250</xdr:colOff>
      <xdr:row>26</xdr:row>
      <xdr:rowOff>66675</xdr:rowOff>
    </xdr:to>
    <xdr:cxnSp macro="">
      <xdr:nvCxnSpPr>
        <xdr:cNvPr id="16" name="Rechte verbindingslijn 15"/>
        <xdr:cNvCxnSpPr/>
      </xdr:nvCxnSpPr>
      <xdr:spPr>
        <a:xfrm>
          <a:off x="381000" y="5029200"/>
          <a:ext cx="952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381000</xdr:colOff>
      <xdr:row>19</xdr:row>
      <xdr:rowOff>57150</xdr:rowOff>
    </xdr:from>
    <xdr:to>
      <xdr:col>0</xdr:col>
      <xdr:colOff>476250</xdr:colOff>
      <xdr:row>19</xdr:row>
      <xdr:rowOff>57150</xdr:rowOff>
    </xdr:to>
    <xdr:cxnSp macro="">
      <xdr:nvCxnSpPr>
        <xdr:cNvPr id="17" name="Rechte verbindingslijn 16"/>
        <xdr:cNvCxnSpPr/>
      </xdr:nvCxnSpPr>
      <xdr:spPr>
        <a:xfrm>
          <a:off x="381000" y="3486150"/>
          <a:ext cx="952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40</xdr:row>
      <xdr:rowOff>19050</xdr:rowOff>
    </xdr:from>
    <xdr:to>
      <xdr:col>6</xdr:col>
      <xdr:colOff>400050</xdr:colOff>
      <xdr:row>48</xdr:row>
      <xdr:rowOff>57065</xdr:rowOff>
    </xdr:to>
    <xdr:pic>
      <xdr:nvPicPr>
        <xdr:cNvPr id="30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353425"/>
          <a:ext cx="4057650" cy="15620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48</xdr:row>
      <xdr:rowOff>57150</xdr:rowOff>
    </xdr:from>
    <xdr:to>
      <xdr:col>6</xdr:col>
      <xdr:colOff>400050</xdr:colOff>
      <xdr:row>56</xdr:row>
      <xdr:rowOff>17585</xdr:rowOff>
    </xdr:to>
    <xdr:pic>
      <xdr:nvPicPr>
        <xdr:cNvPr id="30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9915525"/>
          <a:ext cx="4057650" cy="156063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56</xdr:row>
      <xdr:rowOff>171451</xdr:rowOff>
    </xdr:from>
    <xdr:to>
      <xdr:col>6</xdr:col>
      <xdr:colOff>495300</xdr:colOff>
      <xdr:row>64</xdr:row>
      <xdr:rowOff>5213</xdr:rowOff>
    </xdr:to>
    <xdr:pic>
      <xdr:nvPicPr>
        <xdr:cNvPr id="30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1553826"/>
          <a:ext cx="4152900" cy="143396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0</xdr:col>
      <xdr:colOff>28575</xdr:colOff>
      <xdr:row>48</xdr:row>
      <xdr:rowOff>57150</xdr:rowOff>
    </xdr:from>
    <xdr:to>
      <xdr:col>6</xdr:col>
      <xdr:colOff>600075</xdr:colOff>
      <xdr:row>48</xdr:row>
      <xdr:rowOff>57150</xdr:rowOff>
    </xdr:to>
    <xdr:cxnSp macro="">
      <xdr:nvCxnSpPr>
        <xdr:cNvPr id="20" name="Rechte verbindingslijn 19"/>
        <xdr:cNvCxnSpPr/>
      </xdr:nvCxnSpPr>
      <xdr:spPr>
        <a:xfrm>
          <a:off x="28575" y="9382125"/>
          <a:ext cx="42291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56</xdr:row>
      <xdr:rowOff>133350</xdr:rowOff>
    </xdr:from>
    <xdr:to>
      <xdr:col>6</xdr:col>
      <xdr:colOff>571500</xdr:colOff>
      <xdr:row>56</xdr:row>
      <xdr:rowOff>133350</xdr:rowOff>
    </xdr:to>
    <xdr:cxnSp macro="">
      <xdr:nvCxnSpPr>
        <xdr:cNvPr id="21" name="Rechte verbindingslijn 20"/>
        <xdr:cNvCxnSpPr/>
      </xdr:nvCxnSpPr>
      <xdr:spPr>
        <a:xfrm>
          <a:off x="0" y="10982325"/>
          <a:ext cx="42291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114300</xdr:colOff>
      <xdr:row>55</xdr:row>
      <xdr:rowOff>133350</xdr:rowOff>
    </xdr:from>
    <xdr:to>
      <xdr:col>9</xdr:col>
      <xdr:colOff>323850</xdr:colOff>
      <xdr:row>55</xdr:row>
      <xdr:rowOff>134938</xdr:rowOff>
    </xdr:to>
    <xdr:cxnSp macro="">
      <xdr:nvCxnSpPr>
        <xdr:cNvPr id="23" name="Rechte verbindingslijn met pijl 22"/>
        <xdr:cNvCxnSpPr/>
      </xdr:nvCxnSpPr>
      <xdr:spPr>
        <a:xfrm>
          <a:off x="4991100" y="10791825"/>
          <a:ext cx="209550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104775</xdr:colOff>
      <xdr:row>54</xdr:row>
      <xdr:rowOff>133350</xdr:rowOff>
    </xdr:from>
    <xdr:to>
      <xdr:col>9</xdr:col>
      <xdr:colOff>314325</xdr:colOff>
      <xdr:row>54</xdr:row>
      <xdr:rowOff>134938</xdr:rowOff>
    </xdr:to>
    <xdr:cxnSp macro="">
      <xdr:nvCxnSpPr>
        <xdr:cNvPr id="24" name="Rechte verbindingslijn met pijl 23"/>
        <xdr:cNvCxnSpPr/>
      </xdr:nvCxnSpPr>
      <xdr:spPr>
        <a:xfrm>
          <a:off x="5591175" y="10601325"/>
          <a:ext cx="209550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123825</xdr:colOff>
      <xdr:row>68</xdr:row>
      <xdr:rowOff>28575</xdr:rowOff>
    </xdr:from>
    <xdr:to>
      <xdr:col>6</xdr:col>
      <xdr:colOff>219075</xdr:colOff>
      <xdr:row>68</xdr:row>
      <xdr:rowOff>28575</xdr:rowOff>
    </xdr:to>
    <xdr:cxnSp macro="">
      <xdr:nvCxnSpPr>
        <xdr:cNvPr id="25" name="Rechte verbindingslijn 24"/>
        <xdr:cNvCxnSpPr/>
      </xdr:nvCxnSpPr>
      <xdr:spPr>
        <a:xfrm>
          <a:off x="3781425" y="13354050"/>
          <a:ext cx="952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514350</xdr:colOff>
      <xdr:row>68</xdr:row>
      <xdr:rowOff>28575</xdr:rowOff>
    </xdr:from>
    <xdr:to>
      <xdr:col>7</xdr:col>
      <xdr:colOff>0</xdr:colOff>
      <xdr:row>68</xdr:row>
      <xdr:rowOff>28575</xdr:rowOff>
    </xdr:to>
    <xdr:cxnSp macro="">
      <xdr:nvCxnSpPr>
        <xdr:cNvPr id="27" name="Rechte verbindingslijn 26"/>
        <xdr:cNvCxnSpPr/>
      </xdr:nvCxnSpPr>
      <xdr:spPr>
        <a:xfrm>
          <a:off x="4171950" y="13354050"/>
          <a:ext cx="952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69</xdr:row>
      <xdr:rowOff>28575</xdr:rowOff>
    </xdr:from>
    <xdr:to>
      <xdr:col>4</xdr:col>
      <xdr:colOff>95250</xdr:colOff>
      <xdr:row>69</xdr:row>
      <xdr:rowOff>28575</xdr:rowOff>
    </xdr:to>
    <xdr:cxnSp macro="">
      <xdr:nvCxnSpPr>
        <xdr:cNvPr id="29" name="Rechte verbindingslijn 28"/>
        <xdr:cNvCxnSpPr/>
      </xdr:nvCxnSpPr>
      <xdr:spPr>
        <a:xfrm>
          <a:off x="2438400" y="13506450"/>
          <a:ext cx="952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171450</xdr:colOff>
      <xdr:row>69</xdr:row>
      <xdr:rowOff>38100</xdr:rowOff>
    </xdr:from>
    <xdr:to>
      <xdr:col>4</xdr:col>
      <xdr:colOff>266700</xdr:colOff>
      <xdr:row>69</xdr:row>
      <xdr:rowOff>38100</xdr:rowOff>
    </xdr:to>
    <xdr:cxnSp macro="">
      <xdr:nvCxnSpPr>
        <xdr:cNvPr id="30" name="Rechte verbindingslijn 29"/>
        <xdr:cNvCxnSpPr/>
      </xdr:nvCxnSpPr>
      <xdr:spPr>
        <a:xfrm>
          <a:off x="2609850" y="13515975"/>
          <a:ext cx="952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95</xdr:row>
      <xdr:rowOff>180975</xdr:rowOff>
    </xdr:from>
    <xdr:to>
      <xdr:col>0</xdr:col>
      <xdr:colOff>152400</xdr:colOff>
      <xdr:row>98</xdr:row>
      <xdr:rowOff>9525</xdr:rowOff>
    </xdr:to>
    <xdr:cxnSp macro="">
      <xdr:nvCxnSpPr>
        <xdr:cNvPr id="4" name="Rechte verbindingslijn 3"/>
        <xdr:cNvCxnSpPr/>
      </xdr:nvCxnSpPr>
      <xdr:spPr>
        <a:xfrm rot="5400000">
          <a:off x="-47625" y="762000"/>
          <a:ext cx="400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476250</xdr:colOff>
      <xdr:row>95</xdr:row>
      <xdr:rowOff>161925</xdr:rowOff>
    </xdr:from>
    <xdr:to>
      <xdr:col>3</xdr:col>
      <xdr:colOff>476250</xdr:colOff>
      <xdr:row>98</xdr:row>
      <xdr:rowOff>28575</xdr:rowOff>
    </xdr:to>
    <xdr:cxnSp macro="">
      <xdr:nvCxnSpPr>
        <xdr:cNvPr id="6" name="Rechte verbindingslijn 5"/>
        <xdr:cNvCxnSpPr/>
      </xdr:nvCxnSpPr>
      <xdr:spPr>
        <a:xfrm rot="5400000">
          <a:off x="2085975" y="762000"/>
          <a:ext cx="4381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190500</xdr:colOff>
      <xdr:row>95</xdr:row>
      <xdr:rowOff>180975</xdr:rowOff>
    </xdr:from>
    <xdr:to>
      <xdr:col>4</xdr:col>
      <xdr:colOff>190500</xdr:colOff>
      <xdr:row>100</xdr:row>
      <xdr:rowOff>0</xdr:rowOff>
    </xdr:to>
    <xdr:cxnSp macro="">
      <xdr:nvCxnSpPr>
        <xdr:cNvPr id="8" name="Rechte verbindingslijn 7"/>
        <xdr:cNvCxnSpPr/>
      </xdr:nvCxnSpPr>
      <xdr:spPr>
        <a:xfrm rot="5400000">
          <a:off x="2238375" y="952500"/>
          <a:ext cx="781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495300</xdr:colOff>
      <xdr:row>95</xdr:row>
      <xdr:rowOff>161926</xdr:rowOff>
    </xdr:from>
    <xdr:to>
      <xdr:col>5</xdr:col>
      <xdr:colOff>495300</xdr:colOff>
      <xdr:row>99</xdr:row>
      <xdr:rowOff>180976</xdr:rowOff>
    </xdr:to>
    <xdr:cxnSp macro="">
      <xdr:nvCxnSpPr>
        <xdr:cNvPr id="9" name="Rechte verbindingslijn 8"/>
        <xdr:cNvCxnSpPr/>
      </xdr:nvCxnSpPr>
      <xdr:spPr>
        <a:xfrm rot="5400000">
          <a:off x="3138487" y="947739"/>
          <a:ext cx="809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504825</xdr:colOff>
      <xdr:row>96</xdr:row>
      <xdr:rowOff>95250</xdr:rowOff>
    </xdr:from>
    <xdr:ext cx="254942" cy="264560"/>
    <xdr:sp macro="" textlink="">
      <xdr:nvSpPr>
        <xdr:cNvPr id="12" name="Tekstvak 11"/>
        <xdr:cNvSpPr txBox="1"/>
      </xdr:nvSpPr>
      <xdr:spPr>
        <a:xfrm>
          <a:off x="2333625" y="666750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/>
            <a:t>*</a:t>
          </a:r>
        </a:p>
      </xdr:txBody>
    </xdr:sp>
    <xdr:clientData/>
  </xdr:oneCellAnchor>
  <xdr:twoCellAnchor>
    <xdr:from>
      <xdr:col>7</xdr:col>
      <xdr:colOff>695325</xdr:colOff>
      <xdr:row>95</xdr:row>
      <xdr:rowOff>180977</xdr:rowOff>
    </xdr:from>
    <xdr:to>
      <xdr:col>7</xdr:col>
      <xdr:colOff>695325</xdr:colOff>
      <xdr:row>98</xdr:row>
      <xdr:rowOff>9527</xdr:rowOff>
    </xdr:to>
    <xdr:cxnSp macro="">
      <xdr:nvCxnSpPr>
        <xdr:cNvPr id="13" name="Rechte verbindingslijn 12"/>
        <xdr:cNvCxnSpPr/>
      </xdr:nvCxnSpPr>
      <xdr:spPr>
        <a:xfrm rot="5400000">
          <a:off x="4843462" y="12844465"/>
          <a:ext cx="428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257175</xdr:colOff>
      <xdr:row>95</xdr:row>
      <xdr:rowOff>161926</xdr:rowOff>
    </xdr:from>
    <xdr:to>
      <xdr:col>7</xdr:col>
      <xdr:colOff>257175</xdr:colOff>
      <xdr:row>97</xdr:row>
      <xdr:rowOff>180976</xdr:rowOff>
    </xdr:to>
    <xdr:cxnSp macro="">
      <xdr:nvCxnSpPr>
        <xdr:cNvPr id="14" name="Rechte verbindingslijn 13"/>
        <xdr:cNvCxnSpPr/>
      </xdr:nvCxnSpPr>
      <xdr:spPr>
        <a:xfrm rot="5400000">
          <a:off x="4405312" y="12825414"/>
          <a:ext cx="428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190500</xdr:colOff>
      <xdr:row>95</xdr:row>
      <xdr:rowOff>180976</xdr:rowOff>
    </xdr:from>
    <xdr:to>
      <xdr:col>6</xdr:col>
      <xdr:colOff>190500</xdr:colOff>
      <xdr:row>98</xdr:row>
      <xdr:rowOff>9526</xdr:rowOff>
    </xdr:to>
    <xdr:cxnSp macro="">
      <xdr:nvCxnSpPr>
        <xdr:cNvPr id="15" name="Rechte verbindingslijn 14"/>
        <xdr:cNvCxnSpPr/>
      </xdr:nvCxnSpPr>
      <xdr:spPr>
        <a:xfrm rot="5400000">
          <a:off x="3729037" y="12844464"/>
          <a:ext cx="428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476250</xdr:colOff>
      <xdr:row>96</xdr:row>
      <xdr:rowOff>66675</xdr:rowOff>
    </xdr:from>
    <xdr:ext cx="254942" cy="264560"/>
    <xdr:sp macro="" textlink="">
      <xdr:nvSpPr>
        <xdr:cNvPr id="16" name="Tekstvak 15"/>
        <xdr:cNvSpPr txBox="1"/>
      </xdr:nvSpPr>
      <xdr:spPr>
        <a:xfrm>
          <a:off x="3619500" y="12734925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/>
            <a:t>=</a:t>
          </a:r>
        </a:p>
      </xdr:txBody>
    </xdr:sp>
    <xdr:clientData/>
  </xdr:oneCellAnchor>
  <xdr:twoCellAnchor>
    <xdr:from>
      <xdr:col>10</xdr:col>
      <xdr:colOff>0</xdr:colOff>
      <xdr:row>96</xdr:row>
      <xdr:rowOff>9526</xdr:rowOff>
    </xdr:from>
    <xdr:to>
      <xdr:col>10</xdr:col>
      <xdr:colOff>0</xdr:colOff>
      <xdr:row>98</xdr:row>
      <xdr:rowOff>28576</xdr:rowOff>
    </xdr:to>
    <xdr:cxnSp macro="">
      <xdr:nvCxnSpPr>
        <xdr:cNvPr id="17" name="Rechte verbindingslijn 16"/>
        <xdr:cNvCxnSpPr/>
      </xdr:nvCxnSpPr>
      <xdr:spPr>
        <a:xfrm rot="5400000">
          <a:off x="6600825" y="809626"/>
          <a:ext cx="400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100</xdr:row>
      <xdr:rowOff>0</xdr:rowOff>
    </xdr:from>
    <xdr:to>
      <xdr:col>1</xdr:col>
      <xdr:colOff>438150</xdr:colOff>
      <xdr:row>104</xdr:row>
      <xdr:rowOff>9525</xdr:rowOff>
    </xdr:to>
    <xdr:cxnSp macro="">
      <xdr:nvCxnSpPr>
        <xdr:cNvPr id="18" name="Rechte verbindingslijn 17"/>
        <xdr:cNvCxnSpPr/>
      </xdr:nvCxnSpPr>
      <xdr:spPr>
        <a:xfrm rot="5400000">
          <a:off x="2486025" y="1905000"/>
          <a:ext cx="781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100</xdr:row>
      <xdr:rowOff>0</xdr:rowOff>
    </xdr:from>
    <xdr:to>
      <xdr:col>1</xdr:col>
      <xdr:colOff>171450</xdr:colOff>
      <xdr:row>104</xdr:row>
      <xdr:rowOff>9525</xdr:rowOff>
    </xdr:to>
    <xdr:cxnSp macro="">
      <xdr:nvCxnSpPr>
        <xdr:cNvPr id="19" name="Rechte verbindingslijn 18"/>
        <xdr:cNvCxnSpPr/>
      </xdr:nvCxnSpPr>
      <xdr:spPr>
        <a:xfrm rot="5400000">
          <a:off x="2219325" y="1905000"/>
          <a:ext cx="781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100</xdr:row>
      <xdr:rowOff>180975</xdr:rowOff>
    </xdr:from>
    <xdr:to>
      <xdr:col>7</xdr:col>
      <xdr:colOff>19050</xdr:colOff>
      <xdr:row>103</xdr:row>
      <xdr:rowOff>9525</xdr:rowOff>
    </xdr:to>
    <xdr:cxnSp macro="">
      <xdr:nvCxnSpPr>
        <xdr:cNvPr id="20" name="Rechte verbindingslijn 19"/>
        <xdr:cNvCxnSpPr/>
      </xdr:nvCxnSpPr>
      <xdr:spPr>
        <a:xfrm rot="5400000">
          <a:off x="6010275" y="1714500"/>
          <a:ext cx="400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100</xdr:row>
      <xdr:rowOff>180975</xdr:rowOff>
    </xdr:from>
    <xdr:to>
      <xdr:col>6</xdr:col>
      <xdr:colOff>47625</xdr:colOff>
      <xdr:row>103</xdr:row>
      <xdr:rowOff>9525</xdr:rowOff>
    </xdr:to>
    <xdr:cxnSp macro="">
      <xdr:nvCxnSpPr>
        <xdr:cNvPr id="21" name="Rechte verbindingslijn 20"/>
        <xdr:cNvCxnSpPr/>
      </xdr:nvCxnSpPr>
      <xdr:spPr>
        <a:xfrm rot="5400000">
          <a:off x="3600450" y="14192250"/>
          <a:ext cx="400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342900</xdr:colOff>
      <xdr:row>100</xdr:row>
      <xdr:rowOff>180975</xdr:rowOff>
    </xdr:from>
    <xdr:to>
      <xdr:col>3</xdr:col>
      <xdr:colOff>342900</xdr:colOff>
      <xdr:row>103</xdr:row>
      <xdr:rowOff>9525</xdr:rowOff>
    </xdr:to>
    <xdr:cxnSp macro="">
      <xdr:nvCxnSpPr>
        <xdr:cNvPr id="22" name="Rechte verbindingslijn 21"/>
        <xdr:cNvCxnSpPr/>
      </xdr:nvCxnSpPr>
      <xdr:spPr>
        <a:xfrm rot="5400000">
          <a:off x="3800475" y="1714500"/>
          <a:ext cx="400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100</xdr:row>
      <xdr:rowOff>180975</xdr:rowOff>
    </xdr:from>
    <xdr:to>
      <xdr:col>4</xdr:col>
      <xdr:colOff>0</xdr:colOff>
      <xdr:row>103</xdr:row>
      <xdr:rowOff>9525</xdr:rowOff>
    </xdr:to>
    <xdr:cxnSp macro="">
      <xdr:nvCxnSpPr>
        <xdr:cNvPr id="23" name="Rechte verbindingslijn 22"/>
        <xdr:cNvCxnSpPr/>
      </xdr:nvCxnSpPr>
      <xdr:spPr>
        <a:xfrm rot="5400000">
          <a:off x="4067175" y="1714500"/>
          <a:ext cx="400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400050</xdr:colOff>
      <xdr:row>101</xdr:row>
      <xdr:rowOff>47625</xdr:rowOff>
    </xdr:from>
    <xdr:ext cx="570477" cy="264560"/>
    <xdr:sp macro="" textlink="">
      <xdr:nvSpPr>
        <xdr:cNvPr id="24" name="Tekstvak 23"/>
        <xdr:cNvSpPr txBox="1"/>
      </xdr:nvSpPr>
      <xdr:spPr>
        <a:xfrm>
          <a:off x="3448050" y="1790700"/>
          <a:ext cx="5704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A</a:t>
          </a:r>
          <a:r>
            <a:rPr lang="nl-NL" sz="1100" b="1" baseline="30000"/>
            <a:t>T</a:t>
          </a:r>
          <a:r>
            <a:rPr lang="nl-NL" sz="1100" b="1" baseline="0"/>
            <a:t>  </a:t>
          </a:r>
          <a:r>
            <a:rPr lang="nl-NL" sz="1100" b="1" u="sng" baseline="0"/>
            <a:t>z </a:t>
          </a:r>
          <a:r>
            <a:rPr lang="nl-NL" sz="1100" b="1" u="none" baseline="0"/>
            <a:t> =</a:t>
          </a:r>
          <a:endParaRPr lang="nl-NL" sz="1100" b="1" u="none"/>
        </a:p>
      </xdr:txBody>
    </xdr:sp>
    <xdr:clientData/>
  </xdr:oneCellAnchor>
  <xdr:oneCellAnchor>
    <xdr:from>
      <xdr:col>4</xdr:col>
      <xdr:colOff>371475</xdr:colOff>
      <xdr:row>101</xdr:row>
      <xdr:rowOff>47625</xdr:rowOff>
    </xdr:from>
    <xdr:ext cx="973600" cy="264560"/>
    <xdr:sp macro="" textlink="">
      <xdr:nvSpPr>
        <xdr:cNvPr id="26" name="Tekstvak 25"/>
        <xdr:cNvSpPr txBox="1"/>
      </xdr:nvSpPr>
      <xdr:spPr>
        <a:xfrm>
          <a:off x="4638675" y="1600200"/>
          <a:ext cx="973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(A</a:t>
          </a:r>
          <a:r>
            <a:rPr lang="nl-NL" sz="1100" b="1" baseline="30000"/>
            <a:t>T</a:t>
          </a:r>
          <a:r>
            <a:rPr lang="nl-NL" sz="1100" b="1"/>
            <a:t>A)</a:t>
          </a:r>
          <a:r>
            <a:rPr lang="nl-NL" sz="1100" b="1" baseline="30000"/>
            <a:t>-1 </a:t>
          </a:r>
          <a:r>
            <a:rPr lang="nl-NL" sz="1100" b="1"/>
            <a:t>A</a:t>
          </a:r>
          <a:r>
            <a:rPr lang="nl-NL" sz="1100" b="1" baseline="30000"/>
            <a:t>T</a:t>
          </a:r>
          <a:r>
            <a:rPr lang="nl-NL" sz="1100" b="1" baseline="0"/>
            <a:t>  </a:t>
          </a:r>
          <a:r>
            <a:rPr lang="nl-NL" sz="1100" b="1" u="sng" baseline="0"/>
            <a:t>z </a:t>
          </a:r>
          <a:r>
            <a:rPr lang="nl-NL" sz="1100" b="1" u="none" baseline="0"/>
            <a:t> =</a:t>
          </a:r>
          <a:endParaRPr lang="nl-NL" sz="1100" b="1" u="none"/>
        </a:p>
      </xdr:txBody>
    </xdr:sp>
    <xdr:clientData/>
  </xdr:oneCellAnchor>
  <xdr:oneCellAnchor>
    <xdr:from>
      <xdr:col>0</xdr:col>
      <xdr:colOff>409575</xdr:colOff>
      <xdr:row>101</xdr:row>
      <xdr:rowOff>47625</xdr:rowOff>
    </xdr:from>
    <xdr:ext cx="406586" cy="264560"/>
    <xdr:sp macro="" textlink="">
      <xdr:nvSpPr>
        <xdr:cNvPr id="27" name="Tekstvak 26"/>
        <xdr:cNvSpPr txBox="1"/>
      </xdr:nvSpPr>
      <xdr:spPr>
        <a:xfrm>
          <a:off x="2238375" y="1790700"/>
          <a:ext cx="40658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 baseline="0"/>
            <a:t> </a:t>
          </a:r>
          <a:r>
            <a:rPr lang="nl-NL" sz="1100" b="1" u="sng" baseline="0"/>
            <a:t>z </a:t>
          </a:r>
          <a:r>
            <a:rPr lang="nl-NL" sz="1100" b="1" u="none" baseline="0"/>
            <a:t> =</a:t>
          </a:r>
          <a:endParaRPr lang="nl-NL" sz="1100" b="1" u="none"/>
        </a:p>
      </xdr:txBody>
    </xdr:sp>
    <xdr:clientData/>
  </xdr:oneCellAnchor>
  <xdr:twoCellAnchor>
    <xdr:from>
      <xdr:col>0</xdr:col>
      <xdr:colOff>533400</xdr:colOff>
      <xdr:row>22</xdr:row>
      <xdr:rowOff>142875</xdr:rowOff>
    </xdr:from>
    <xdr:to>
      <xdr:col>0</xdr:col>
      <xdr:colOff>762000</xdr:colOff>
      <xdr:row>22</xdr:row>
      <xdr:rowOff>142876</xdr:rowOff>
    </xdr:to>
    <xdr:cxnSp macro="">
      <xdr:nvCxnSpPr>
        <xdr:cNvPr id="32" name="Rechte verbindingslijn met pijl 31"/>
        <xdr:cNvCxnSpPr/>
      </xdr:nvCxnSpPr>
      <xdr:spPr>
        <a:xfrm flipV="1">
          <a:off x="533400" y="4105275"/>
          <a:ext cx="228600" cy="1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371474</xdr:colOff>
      <xdr:row>8</xdr:row>
      <xdr:rowOff>85725</xdr:rowOff>
    </xdr:from>
    <xdr:ext cx="981075" cy="514350"/>
    <xdr:sp macro="" textlink="">
      <xdr:nvSpPr>
        <xdr:cNvPr id="33" name="Tekstvak 32"/>
        <xdr:cNvSpPr txBox="1"/>
      </xdr:nvSpPr>
      <xdr:spPr>
        <a:xfrm>
          <a:off x="4124324" y="1038225"/>
          <a:ext cx="981075" cy="514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y</a:t>
          </a:r>
          <a:r>
            <a:rPr lang="nl-NL" sz="1100" b="1" i="0" u="none" strike="noStrike" baseline="-25000">
              <a:solidFill>
                <a:schemeClr val="tx1"/>
              </a:solidFill>
              <a:latin typeface="+mn-lt"/>
              <a:ea typeface="+mn-ea"/>
              <a:cs typeface="+mn-cs"/>
            </a:rPr>
            <a:t>1</a:t>
          </a:r>
          <a:r>
            <a:rPr lang="nl-NL" sz="11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 = p x</a:t>
          </a:r>
          <a:r>
            <a:rPr lang="nl-NL" sz="1100" b="1" i="0" u="none" strike="noStrike" baseline="-25000">
              <a:solidFill>
                <a:schemeClr val="tx1"/>
              </a:solidFill>
              <a:latin typeface="+mn-lt"/>
              <a:ea typeface="+mn-ea"/>
              <a:cs typeface="+mn-cs"/>
            </a:rPr>
            <a:t>1</a:t>
          </a:r>
          <a:r>
            <a:rPr lang="nl-NL" sz="11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 + q</a:t>
          </a:r>
          <a:r>
            <a:rPr lang="nl-NL"/>
            <a:t> </a:t>
          </a:r>
        </a:p>
        <a:p>
          <a:r>
            <a:rPr lang="nl-NL" sz="11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y</a:t>
          </a:r>
          <a:r>
            <a:rPr lang="nl-NL" sz="1100" b="1" i="0" u="none" strike="noStrike" baseline="-25000">
              <a:solidFill>
                <a:schemeClr val="tx1"/>
              </a:solidFill>
              <a:latin typeface="+mn-lt"/>
              <a:ea typeface="+mn-ea"/>
              <a:cs typeface="+mn-cs"/>
            </a:rPr>
            <a:t>2 </a:t>
          </a:r>
          <a:r>
            <a:rPr lang="nl-NL" sz="11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= p x</a:t>
          </a:r>
          <a:r>
            <a:rPr lang="nl-NL" sz="1100" b="1" i="0" u="none" strike="noStrike" baseline="-25000">
              <a:solidFill>
                <a:schemeClr val="tx1"/>
              </a:solidFill>
              <a:latin typeface="+mn-lt"/>
              <a:ea typeface="+mn-ea"/>
              <a:cs typeface="+mn-cs"/>
            </a:rPr>
            <a:t>2</a:t>
          </a:r>
          <a:r>
            <a:rPr lang="nl-NL" sz="11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 + q</a:t>
          </a:r>
          <a:r>
            <a:rPr lang="nl-NL"/>
            <a:t>  </a:t>
          </a:r>
          <a:endParaRPr lang="nl-NL" sz="1100"/>
        </a:p>
      </xdr:txBody>
    </xdr:sp>
    <xdr:clientData/>
  </xdr:oneCellAnchor>
  <xdr:oneCellAnchor>
    <xdr:from>
      <xdr:col>0</xdr:col>
      <xdr:colOff>457200</xdr:colOff>
      <xdr:row>13</xdr:row>
      <xdr:rowOff>85725</xdr:rowOff>
    </xdr:from>
    <xdr:ext cx="254942" cy="264560"/>
    <xdr:sp macro="" textlink="">
      <xdr:nvSpPr>
        <xdr:cNvPr id="34" name="Tekstvak 33"/>
        <xdr:cNvSpPr txBox="1"/>
      </xdr:nvSpPr>
      <xdr:spPr>
        <a:xfrm>
          <a:off x="457200" y="2019300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/>
            <a:t>=</a:t>
          </a:r>
        </a:p>
      </xdr:txBody>
    </xdr:sp>
    <xdr:clientData/>
  </xdr:oneCellAnchor>
  <xdr:oneCellAnchor>
    <xdr:from>
      <xdr:col>5</xdr:col>
      <xdr:colOff>142875</xdr:colOff>
      <xdr:row>13</xdr:row>
      <xdr:rowOff>95250</xdr:rowOff>
    </xdr:from>
    <xdr:ext cx="254942" cy="264560"/>
    <xdr:sp macro="" textlink="">
      <xdr:nvSpPr>
        <xdr:cNvPr id="35" name="Tekstvak 34"/>
        <xdr:cNvSpPr txBox="1"/>
      </xdr:nvSpPr>
      <xdr:spPr>
        <a:xfrm>
          <a:off x="3286125" y="2028825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/>
            <a:t>=</a:t>
          </a:r>
        </a:p>
      </xdr:txBody>
    </xdr:sp>
    <xdr:clientData/>
  </xdr:oneCellAnchor>
  <xdr:oneCellAnchor>
    <xdr:from>
      <xdr:col>8</xdr:col>
      <xdr:colOff>200025</xdr:colOff>
      <xdr:row>13</xdr:row>
      <xdr:rowOff>57150</xdr:rowOff>
    </xdr:from>
    <xdr:ext cx="184731" cy="264560"/>
    <xdr:sp macro="" textlink="">
      <xdr:nvSpPr>
        <xdr:cNvPr id="36" name="Tekstvak 35"/>
        <xdr:cNvSpPr txBox="1"/>
      </xdr:nvSpPr>
      <xdr:spPr>
        <a:xfrm>
          <a:off x="517207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nl-NL" sz="1100"/>
        </a:p>
      </xdr:txBody>
    </xdr:sp>
    <xdr:clientData/>
  </xdr:oneCellAnchor>
  <xdr:oneCellAnchor>
    <xdr:from>
      <xdr:col>5</xdr:col>
      <xdr:colOff>476250</xdr:colOff>
      <xdr:row>13</xdr:row>
      <xdr:rowOff>0</xdr:rowOff>
    </xdr:from>
    <xdr:ext cx="838200" cy="514350"/>
    <xdr:sp macro="" textlink="">
      <xdr:nvSpPr>
        <xdr:cNvPr id="37" name="Tekstvak 36"/>
        <xdr:cNvSpPr txBox="1"/>
      </xdr:nvSpPr>
      <xdr:spPr>
        <a:xfrm>
          <a:off x="3619500" y="1933575"/>
          <a:ext cx="838200" cy="514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    1 </a:t>
          </a:r>
          <a:endParaRPr lang="nl-NL"/>
        </a:p>
        <a:p>
          <a:r>
            <a:rPr lang="nl-NL" sz="11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x</a:t>
          </a:r>
          <a:r>
            <a:rPr lang="nl-NL" sz="1100" b="1" i="0" u="none" strike="noStrike" baseline="-25000">
              <a:solidFill>
                <a:schemeClr val="tx1"/>
              </a:solidFill>
              <a:latin typeface="+mn-lt"/>
              <a:ea typeface="+mn-ea"/>
              <a:cs typeface="+mn-cs"/>
            </a:rPr>
            <a:t>1</a:t>
          </a:r>
          <a:r>
            <a:rPr lang="nl-NL" sz="11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-x</a:t>
          </a:r>
          <a:r>
            <a:rPr lang="nl-NL" sz="1100" b="1" i="0" u="none" strike="noStrike" baseline="-25000">
              <a:solidFill>
                <a:schemeClr val="tx1"/>
              </a:solidFill>
              <a:latin typeface="+mn-lt"/>
              <a:ea typeface="+mn-ea"/>
              <a:cs typeface="+mn-cs"/>
            </a:rPr>
            <a:t>2</a:t>
          </a:r>
          <a:r>
            <a:rPr lang="nl-NL" baseline="-25000"/>
            <a:t> </a:t>
          </a:r>
          <a:r>
            <a:rPr lang="nl-NL"/>
            <a:t> </a:t>
          </a:r>
          <a:endParaRPr lang="nl-NL" sz="1100"/>
        </a:p>
      </xdr:txBody>
    </xdr:sp>
    <xdr:clientData/>
  </xdr:oneCellAnchor>
  <xdr:twoCellAnchor>
    <xdr:from>
      <xdr:col>5</xdr:col>
      <xdr:colOff>476249</xdr:colOff>
      <xdr:row>13</xdr:row>
      <xdr:rowOff>219075</xdr:rowOff>
    </xdr:from>
    <xdr:to>
      <xdr:col>6</xdr:col>
      <xdr:colOff>447674</xdr:colOff>
      <xdr:row>13</xdr:row>
      <xdr:rowOff>219075</xdr:rowOff>
    </xdr:to>
    <xdr:cxnSp macro="">
      <xdr:nvCxnSpPr>
        <xdr:cNvPr id="39" name="Rechte verbindingslijn 38"/>
        <xdr:cNvCxnSpPr/>
      </xdr:nvCxnSpPr>
      <xdr:spPr>
        <a:xfrm rot="10800000" flipH="1">
          <a:off x="3619499" y="2152650"/>
          <a:ext cx="581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12</xdr:row>
      <xdr:rowOff>171451</xdr:rowOff>
    </xdr:from>
    <xdr:to>
      <xdr:col>1</xdr:col>
      <xdr:colOff>438150</xdr:colOff>
      <xdr:row>14</xdr:row>
      <xdr:rowOff>180976</xdr:rowOff>
    </xdr:to>
    <xdr:cxnSp macro="">
      <xdr:nvCxnSpPr>
        <xdr:cNvPr id="40" name="Rechte verbindingslijn 39"/>
        <xdr:cNvCxnSpPr/>
      </xdr:nvCxnSpPr>
      <xdr:spPr>
        <a:xfrm rot="5400000">
          <a:off x="928687" y="2128839"/>
          <a:ext cx="428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685800</xdr:colOff>
      <xdr:row>12</xdr:row>
      <xdr:rowOff>171451</xdr:rowOff>
    </xdr:from>
    <xdr:to>
      <xdr:col>0</xdr:col>
      <xdr:colOff>685800</xdr:colOff>
      <xdr:row>14</xdr:row>
      <xdr:rowOff>180976</xdr:rowOff>
    </xdr:to>
    <xdr:cxnSp macro="">
      <xdr:nvCxnSpPr>
        <xdr:cNvPr id="41" name="Rechte verbindingslijn 40"/>
        <xdr:cNvCxnSpPr/>
      </xdr:nvCxnSpPr>
      <xdr:spPr>
        <a:xfrm rot="5400000">
          <a:off x="471487" y="2128839"/>
          <a:ext cx="428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476250</xdr:colOff>
      <xdr:row>13</xdr:row>
      <xdr:rowOff>1</xdr:rowOff>
    </xdr:from>
    <xdr:to>
      <xdr:col>0</xdr:col>
      <xdr:colOff>476250</xdr:colOff>
      <xdr:row>14</xdr:row>
      <xdr:rowOff>200026</xdr:rowOff>
    </xdr:to>
    <xdr:cxnSp macro="">
      <xdr:nvCxnSpPr>
        <xdr:cNvPr id="42" name="Rechte verbindingslijn 41"/>
        <xdr:cNvCxnSpPr/>
      </xdr:nvCxnSpPr>
      <xdr:spPr>
        <a:xfrm rot="5400000">
          <a:off x="261937" y="2147889"/>
          <a:ext cx="428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13</xdr:row>
      <xdr:rowOff>1</xdr:rowOff>
    </xdr:from>
    <xdr:to>
      <xdr:col>0</xdr:col>
      <xdr:colOff>228600</xdr:colOff>
      <xdr:row>14</xdr:row>
      <xdr:rowOff>200026</xdr:rowOff>
    </xdr:to>
    <xdr:cxnSp macro="">
      <xdr:nvCxnSpPr>
        <xdr:cNvPr id="43" name="Rechte verbindingslijn 42"/>
        <xdr:cNvCxnSpPr/>
      </xdr:nvCxnSpPr>
      <xdr:spPr>
        <a:xfrm rot="5400000">
          <a:off x="14287" y="2147889"/>
          <a:ext cx="428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13</xdr:row>
      <xdr:rowOff>2</xdr:rowOff>
    </xdr:from>
    <xdr:to>
      <xdr:col>2</xdr:col>
      <xdr:colOff>38100</xdr:colOff>
      <xdr:row>14</xdr:row>
      <xdr:rowOff>200027</xdr:rowOff>
    </xdr:to>
    <xdr:cxnSp macro="">
      <xdr:nvCxnSpPr>
        <xdr:cNvPr id="44" name="Rechte verbindingslijn 43"/>
        <xdr:cNvCxnSpPr/>
      </xdr:nvCxnSpPr>
      <xdr:spPr>
        <a:xfrm rot="5400000">
          <a:off x="1233487" y="2719390"/>
          <a:ext cx="428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266700</xdr:colOff>
      <xdr:row>12</xdr:row>
      <xdr:rowOff>180979</xdr:rowOff>
    </xdr:from>
    <xdr:to>
      <xdr:col>2</xdr:col>
      <xdr:colOff>266700</xdr:colOff>
      <xdr:row>14</xdr:row>
      <xdr:rowOff>190504</xdr:rowOff>
    </xdr:to>
    <xdr:cxnSp macro="">
      <xdr:nvCxnSpPr>
        <xdr:cNvPr id="45" name="Rechte verbindingslijn 44"/>
        <xdr:cNvCxnSpPr/>
      </xdr:nvCxnSpPr>
      <xdr:spPr>
        <a:xfrm rot="5400000">
          <a:off x="1462087" y="2709867"/>
          <a:ext cx="428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</xdr:rowOff>
    </xdr:from>
    <xdr:to>
      <xdr:col>4</xdr:col>
      <xdr:colOff>0</xdr:colOff>
      <xdr:row>14</xdr:row>
      <xdr:rowOff>200026</xdr:rowOff>
    </xdr:to>
    <xdr:cxnSp macro="">
      <xdr:nvCxnSpPr>
        <xdr:cNvPr id="46" name="Rechte verbindingslijn 45"/>
        <xdr:cNvCxnSpPr/>
      </xdr:nvCxnSpPr>
      <xdr:spPr>
        <a:xfrm rot="5400000">
          <a:off x="2319337" y="2147889"/>
          <a:ext cx="428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419100</xdr:colOff>
      <xdr:row>13</xdr:row>
      <xdr:rowOff>19051</xdr:rowOff>
    </xdr:from>
    <xdr:to>
      <xdr:col>3</xdr:col>
      <xdr:colOff>419100</xdr:colOff>
      <xdr:row>14</xdr:row>
      <xdr:rowOff>219076</xdr:rowOff>
    </xdr:to>
    <xdr:cxnSp macro="">
      <xdr:nvCxnSpPr>
        <xdr:cNvPr id="47" name="Rechte verbindingslijn 46"/>
        <xdr:cNvCxnSpPr/>
      </xdr:nvCxnSpPr>
      <xdr:spPr>
        <a:xfrm rot="5400000">
          <a:off x="2128837" y="2166939"/>
          <a:ext cx="428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209550</xdr:colOff>
      <xdr:row>13</xdr:row>
      <xdr:rowOff>1</xdr:rowOff>
    </xdr:from>
    <xdr:to>
      <xdr:col>3</xdr:col>
      <xdr:colOff>209550</xdr:colOff>
      <xdr:row>14</xdr:row>
      <xdr:rowOff>200026</xdr:rowOff>
    </xdr:to>
    <xdr:cxnSp macro="">
      <xdr:nvCxnSpPr>
        <xdr:cNvPr id="48" name="Rechte verbindingslijn 47"/>
        <xdr:cNvCxnSpPr/>
      </xdr:nvCxnSpPr>
      <xdr:spPr>
        <a:xfrm rot="5400000">
          <a:off x="1919287" y="2147889"/>
          <a:ext cx="428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590550</xdr:colOff>
      <xdr:row>13</xdr:row>
      <xdr:rowOff>2</xdr:rowOff>
    </xdr:from>
    <xdr:to>
      <xdr:col>4</xdr:col>
      <xdr:colOff>590550</xdr:colOff>
      <xdr:row>14</xdr:row>
      <xdr:rowOff>200027</xdr:rowOff>
    </xdr:to>
    <xdr:cxnSp macro="">
      <xdr:nvCxnSpPr>
        <xdr:cNvPr id="49" name="Rechte verbindingslijn 48"/>
        <xdr:cNvCxnSpPr/>
      </xdr:nvCxnSpPr>
      <xdr:spPr>
        <a:xfrm rot="5400000">
          <a:off x="2909887" y="2147890"/>
          <a:ext cx="428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438150</xdr:colOff>
      <xdr:row>13</xdr:row>
      <xdr:rowOff>2</xdr:rowOff>
    </xdr:from>
    <xdr:to>
      <xdr:col>4</xdr:col>
      <xdr:colOff>438150</xdr:colOff>
      <xdr:row>14</xdr:row>
      <xdr:rowOff>200027</xdr:rowOff>
    </xdr:to>
    <xdr:cxnSp macro="">
      <xdr:nvCxnSpPr>
        <xdr:cNvPr id="50" name="Rechte verbindingslijn 49"/>
        <xdr:cNvCxnSpPr/>
      </xdr:nvCxnSpPr>
      <xdr:spPr>
        <a:xfrm rot="5400000">
          <a:off x="2757487" y="2147890"/>
          <a:ext cx="428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13</xdr:row>
      <xdr:rowOff>9528</xdr:rowOff>
    </xdr:from>
    <xdr:to>
      <xdr:col>5</xdr:col>
      <xdr:colOff>171450</xdr:colOff>
      <xdr:row>14</xdr:row>
      <xdr:rowOff>209553</xdr:rowOff>
    </xdr:to>
    <xdr:cxnSp macro="">
      <xdr:nvCxnSpPr>
        <xdr:cNvPr id="51" name="Rechte verbindingslijn 50"/>
        <xdr:cNvCxnSpPr/>
      </xdr:nvCxnSpPr>
      <xdr:spPr>
        <a:xfrm rot="5400000">
          <a:off x="3100387" y="2157416"/>
          <a:ext cx="428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13</xdr:row>
      <xdr:rowOff>1</xdr:rowOff>
    </xdr:from>
    <xdr:to>
      <xdr:col>8</xdr:col>
      <xdr:colOff>133350</xdr:colOff>
      <xdr:row>14</xdr:row>
      <xdr:rowOff>200026</xdr:rowOff>
    </xdr:to>
    <xdr:cxnSp macro="">
      <xdr:nvCxnSpPr>
        <xdr:cNvPr id="52" name="Rechte verbindingslijn 51"/>
        <xdr:cNvCxnSpPr/>
      </xdr:nvCxnSpPr>
      <xdr:spPr>
        <a:xfrm rot="5400000">
          <a:off x="4891087" y="2147889"/>
          <a:ext cx="428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571500</xdr:colOff>
      <xdr:row>13</xdr:row>
      <xdr:rowOff>1</xdr:rowOff>
    </xdr:from>
    <xdr:to>
      <xdr:col>7</xdr:col>
      <xdr:colOff>571500</xdr:colOff>
      <xdr:row>14</xdr:row>
      <xdr:rowOff>200026</xdr:rowOff>
    </xdr:to>
    <xdr:cxnSp macro="">
      <xdr:nvCxnSpPr>
        <xdr:cNvPr id="53" name="Rechte verbindingslijn 52"/>
        <xdr:cNvCxnSpPr/>
      </xdr:nvCxnSpPr>
      <xdr:spPr>
        <a:xfrm rot="5400000">
          <a:off x="4719637" y="2147889"/>
          <a:ext cx="428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571500</xdr:colOff>
      <xdr:row>13</xdr:row>
      <xdr:rowOff>1</xdr:rowOff>
    </xdr:from>
    <xdr:to>
      <xdr:col>6</xdr:col>
      <xdr:colOff>571500</xdr:colOff>
      <xdr:row>14</xdr:row>
      <xdr:rowOff>200026</xdr:rowOff>
    </xdr:to>
    <xdr:cxnSp macro="">
      <xdr:nvCxnSpPr>
        <xdr:cNvPr id="54" name="Rechte verbindingslijn 53"/>
        <xdr:cNvCxnSpPr/>
      </xdr:nvCxnSpPr>
      <xdr:spPr>
        <a:xfrm rot="5400000">
          <a:off x="4110037" y="2147889"/>
          <a:ext cx="428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323850</xdr:colOff>
      <xdr:row>13</xdr:row>
      <xdr:rowOff>2</xdr:rowOff>
    </xdr:from>
    <xdr:to>
      <xdr:col>8</xdr:col>
      <xdr:colOff>323850</xdr:colOff>
      <xdr:row>14</xdr:row>
      <xdr:rowOff>200027</xdr:rowOff>
    </xdr:to>
    <xdr:cxnSp macro="">
      <xdr:nvCxnSpPr>
        <xdr:cNvPr id="55" name="Rechte verbindingslijn 54"/>
        <xdr:cNvCxnSpPr/>
      </xdr:nvCxnSpPr>
      <xdr:spPr>
        <a:xfrm rot="5400000">
          <a:off x="5081587" y="2147890"/>
          <a:ext cx="428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371475</xdr:colOff>
      <xdr:row>13</xdr:row>
      <xdr:rowOff>95250</xdr:rowOff>
    </xdr:from>
    <xdr:ext cx="254942" cy="264560"/>
    <xdr:sp macro="" textlink="">
      <xdr:nvSpPr>
        <xdr:cNvPr id="58" name="Tekstvak 57"/>
        <xdr:cNvSpPr txBox="1"/>
      </xdr:nvSpPr>
      <xdr:spPr>
        <a:xfrm>
          <a:off x="2295525" y="2028825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/>
            <a:t>=</a:t>
          </a:r>
        </a:p>
      </xdr:txBody>
    </xdr:sp>
    <xdr:clientData/>
  </xdr:oneCellAnchor>
  <xdr:oneCellAnchor>
    <xdr:from>
      <xdr:col>10</xdr:col>
      <xdr:colOff>552450</xdr:colOff>
      <xdr:row>33</xdr:row>
      <xdr:rowOff>66675</xdr:rowOff>
    </xdr:from>
    <xdr:ext cx="209550" cy="302660"/>
    <xdr:sp macro="" textlink="">
      <xdr:nvSpPr>
        <xdr:cNvPr id="59" name="Tekstvak 58"/>
        <xdr:cNvSpPr txBox="1"/>
      </xdr:nvSpPr>
      <xdr:spPr>
        <a:xfrm>
          <a:off x="7448550" y="5248275"/>
          <a:ext cx="209550" cy="3026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/>
            <a:t>*</a:t>
          </a:r>
        </a:p>
      </xdr:txBody>
    </xdr:sp>
    <xdr:clientData/>
  </xdr:oneCellAnchor>
  <xdr:oneCellAnchor>
    <xdr:from>
      <xdr:col>1</xdr:col>
      <xdr:colOff>428625</xdr:colOff>
      <xdr:row>13</xdr:row>
      <xdr:rowOff>114300</xdr:rowOff>
    </xdr:from>
    <xdr:ext cx="254942" cy="264560"/>
    <xdr:sp macro="" textlink="">
      <xdr:nvSpPr>
        <xdr:cNvPr id="60" name="Tekstvak 59"/>
        <xdr:cNvSpPr txBox="1"/>
      </xdr:nvSpPr>
      <xdr:spPr>
        <a:xfrm>
          <a:off x="1133475" y="2047875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/>
            <a:t>*</a:t>
          </a:r>
        </a:p>
      </xdr:txBody>
    </xdr:sp>
    <xdr:clientData/>
  </xdr:oneCellAnchor>
  <xdr:oneCellAnchor>
    <xdr:from>
      <xdr:col>4</xdr:col>
      <xdr:colOff>371475</xdr:colOff>
      <xdr:row>12</xdr:row>
      <xdr:rowOff>19050</xdr:rowOff>
    </xdr:from>
    <xdr:ext cx="288925" cy="561885"/>
    <xdr:sp macro="" textlink="">
      <xdr:nvSpPr>
        <xdr:cNvPr id="61" name="Tekstvak 60"/>
        <xdr:cNvSpPr txBox="1"/>
      </xdr:nvSpPr>
      <xdr:spPr>
        <a:xfrm>
          <a:off x="3000375" y="2333625"/>
          <a:ext cx="288925" cy="561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000" b="1"/>
            <a:t>-1</a:t>
          </a:r>
        </a:p>
        <a:p>
          <a:endParaRPr lang="nl-NL" sz="1000" b="1"/>
        </a:p>
        <a:p>
          <a:r>
            <a:rPr lang="nl-NL" sz="1000" b="1"/>
            <a:t>*</a:t>
          </a:r>
        </a:p>
      </xdr:txBody>
    </xdr:sp>
    <xdr:clientData/>
  </xdr:oneCellAnchor>
  <xdr:oneCellAnchor>
    <xdr:from>
      <xdr:col>8</xdr:col>
      <xdr:colOff>466725</xdr:colOff>
      <xdr:row>33</xdr:row>
      <xdr:rowOff>57150</xdr:rowOff>
    </xdr:from>
    <xdr:ext cx="254942" cy="264560"/>
    <xdr:sp macro="" textlink="">
      <xdr:nvSpPr>
        <xdr:cNvPr id="64" name="Tekstvak 63"/>
        <xdr:cNvSpPr txBox="1"/>
      </xdr:nvSpPr>
      <xdr:spPr>
        <a:xfrm>
          <a:off x="6143625" y="5238750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/>
            <a:t>=</a:t>
          </a:r>
        </a:p>
      </xdr:txBody>
    </xdr:sp>
    <xdr:clientData/>
  </xdr:oneCellAnchor>
  <xdr:twoCellAnchor>
    <xdr:from>
      <xdr:col>11</xdr:col>
      <xdr:colOff>419100</xdr:colOff>
      <xdr:row>32</xdr:row>
      <xdr:rowOff>180978</xdr:rowOff>
    </xdr:from>
    <xdr:to>
      <xdr:col>11</xdr:col>
      <xdr:colOff>419100</xdr:colOff>
      <xdr:row>35</xdr:row>
      <xdr:rowOff>38103</xdr:rowOff>
    </xdr:to>
    <xdr:cxnSp macro="">
      <xdr:nvCxnSpPr>
        <xdr:cNvPr id="65" name="Rechte verbindingslijn 64"/>
        <xdr:cNvCxnSpPr/>
      </xdr:nvCxnSpPr>
      <xdr:spPr>
        <a:xfrm rot="5400000">
          <a:off x="7100887" y="5386391"/>
          <a:ext cx="428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228600</xdr:colOff>
      <xdr:row>32</xdr:row>
      <xdr:rowOff>180978</xdr:rowOff>
    </xdr:from>
    <xdr:to>
      <xdr:col>11</xdr:col>
      <xdr:colOff>228600</xdr:colOff>
      <xdr:row>35</xdr:row>
      <xdr:rowOff>38103</xdr:rowOff>
    </xdr:to>
    <xdr:cxnSp macro="">
      <xdr:nvCxnSpPr>
        <xdr:cNvPr id="66" name="Rechte verbindingslijn 65"/>
        <xdr:cNvCxnSpPr/>
      </xdr:nvCxnSpPr>
      <xdr:spPr>
        <a:xfrm rot="5400000">
          <a:off x="6910387" y="5386391"/>
          <a:ext cx="428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190501</xdr:colOff>
      <xdr:row>30</xdr:row>
      <xdr:rowOff>190498</xdr:rowOff>
    </xdr:from>
    <xdr:to>
      <xdr:col>8</xdr:col>
      <xdr:colOff>190503</xdr:colOff>
      <xdr:row>36</xdr:row>
      <xdr:rowOff>161928</xdr:rowOff>
    </xdr:to>
    <xdr:cxnSp macro="">
      <xdr:nvCxnSpPr>
        <xdr:cNvPr id="67" name="Rechte verbindingslijn 66"/>
        <xdr:cNvCxnSpPr/>
      </xdr:nvCxnSpPr>
      <xdr:spPr>
        <a:xfrm rot="16200000" flipH="1">
          <a:off x="5310187" y="5357812"/>
          <a:ext cx="1114430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438151</xdr:colOff>
      <xdr:row>30</xdr:row>
      <xdr:rowOff>190498</xdr:rowOff>
    </xdr:from>
    <xdr:to>
      <xdr:col>8</xdr:col>
      <xdr:colOff>438153</xdr:colOff>
      <xdr:row>36</xdr:row>
      <xdr:rowOff>161928</xdr:rowOff>
    </xdr:to>
    <xdr:cxnSp macro="">
      <xdr:nvCxnSpPr>
        <xdr:cNvPr id="70" name="Rechte verbindingslijn 69"/>
        <xdr:cNvCxnSpPr/>
      </xdr:nvCxnSpPr>
      <xdr:spPr>
        <a:xfrm rot="16200000" flipH="1">
          <a:off x="5557837" y="5357812"/>
          <a:ext cx="1114430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152401</xdr:colOff>
      <xdr:row>31</xdr:row>
      <xdr:rowOff>19048</xdr:rowOff>
    </xdr:from>
    <xdr:to>
      <xdr:col>9</xdr:col>
      <xdr:colOff>152403</xdr:colOff>
      <xdr:row>36</xdr:row>
      <xdr:rowOff>180978</xdr:rowOff>
    </xdr:to>
    <xdr:cxnSp macro="">
      <xdr:nvCxnSpPr>
        <xdr:cNvPr id="71" name="Rechte verbindingslijn 70"/>
        <xdr:cNvCxnSpPr/>
      </xdr:nvCxnSpPr>
      <xdr:spPr>
        <a:xfrm rot="16200000" flipH="1">
          <a:off x="5881687" y="5376862"/>
          <a:ext cx="1114430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495301</xdr:colOff>
      <xdr:row>30</xdr:row>
      <xdr:rowOff>171448</xdr:rowOff>
    </xdr:from>
    <xdr:to>
      <xdr:col>10</xdr:col>
      <xdr:colOff>495303</xdr:colOff>
      <xdr:row>36</xdr:row>
      <xdr:rowOff>142878</xdr:rowOff>
    </xdr:to>
    <xdr:cxnSp macro="">
      <xdr:nvCxnSpPr>
        <xdr:cNvPr id="72" name="Rechte verbindingslijn 71"/>
        <xdr:cNvCxnSpPr/>
      </xdr:nvCxnSpPr>
      <xdr:spPr>
        <a:xfrm rot="16200000" flipH="1">
          <a:off x="6834187" y="5338762"/>
          <a:ext cx="1114430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514350</xdr:colOff>
      <xdr:row>35</xdr:row>
      <xdr:rowOff>47625</xdr:rowOff>
    </xdr:from>
    <xdr:ext cx="257891" cy="264560"/>
    <xdr:sp macro="" textlink="">
      <xdr:nvSpPr>
        <xdr:cNvPr id="73" name="Tekstvak 72"/>
        <xdr:cNvSpPr txBox="1"/>
      </xdr:nvSpPr>
      <xdr:spPr>
        <a:xfrm>
          <a:off x="4267200" y="5610225"/>
          <a:ext cx="2578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/>
            <a:t>X</a:t>
          </a:r>
        </a:p>
      </xdr:txBody>
    </xdr:sp>
    <xdr:clientData/>
  </xdr:oneCellAnchor>
  <xdr:oneCellAnchor>
    <xdr:from>
      <xdr:col>1</xdr:col>
      <xdr:colOff>571500</xdr:colOff>
      <xdr:row>27</xdr:row>
      <xdr:rowOff>161925</xdr:rowOff>
    </xdr:from>
    <xdr:ext cx="253403" cy="264560"/>
    <xdr:sp macro="" textlink="">
      <xdr:nvSpPr>
        <xdr:cNvPr id="74" name="Tekstvak 73"/>
        <xdr:cNvSpPr txBox="1"/>
      </xdr:nvSpPr>
      <xdr:spPr>
        <a:xfrm>
          <a:off x="1276350" y="4200525"/>
          <a:ext cx="2534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/>
            <a:t>Y</a:t>
          </a:r>
        </a:p>
      </xdr:txBody>
    </xdr:sp>
    <xdr:clientData/>
  </xdr:oneCellAnchor>
  <xdr:twoCellAnchor>
    <xdr:from>
      <xdr:col>5</xdr:col>
      <xdr:colOff>514350</xdr:colOff>
      <xdr:row>38</xdr:row>
      <xdr:rowOff>161926</xdr:rowOff>
    </xdr:from>
    <xdr:to>
      <xdr:col>5</xdr:col>
      <xdr:colOff>514350</xdr:colOff>
      <xdr:row>41</xdr:row>
      <xdr:rowOff>28576</xdr:rowOff>
    </xdr:to>
    <xdr:cxnSp macro="">
      <xdr:nvCxnSpPr>
        <xdr:cNvPr id="75" name="Rechte verbindingslijn 74"/>
        <xdr:cNvCxnSpPr/>
      </xdr:nvCxnSpPr>
      <xdr:spPr>
        <a:xfrm rot="5400000">
          <a:off x="3424237" y="6719889"/>
          <a:ext cx="4667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495302</xdr:colOff>
      <xdr:row>38</xdr:row>
      <xdr:rowOff>161926</xdr:rowOff>
    </xdr:from>
    <xdr:to>
      <xdr:col>7</xdr:col>
      <xdr:colOff>504828</xdr:colOff>
      <xdr:row>45</xdr:row>
      <xdr:rowOff>0</xdr:rowOff>
    </xdr:to>
    <xdr:cxnSp macro="">
      <xdr:nvCxnSpPr>
        <xdr:cNvPr id="77" name="Rechte verbindingslijn 76"/>
        <xdr:cNvCxnSpPr/>
      </xdr:nvCxnSpPr>
      <xdr:spPr>
        <a:xfrm rot="16200000" flipH="1">
          <a:off x="3033714" y="7091364"/>
          <a:ext cx="1219202" cy="95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504825</xdr:colOff>
      <xdr:row>39</xdr:row>
      <xdr:rowOff>95250</xdr:rowOff>
    </xdr:from>
    <xdr:ext cx="254942" cy="264560"/>
    <xdr:sp macro="" textlink="">
      <xdr:nvSpPr>
        <xdr:cNvPr id="78" name="Tekstvak 77"/>
        <xdr:cNvSpPr txBox="1"/>
      </xdr:nvSpPr>
      <xdr:spPr>
        <a:xfrm>
          <a:off x="2428875" y="9686925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/>
            <a:t>*</a:t>
          </a:r>
        </a:p>
      </xdr:txBody>
    </xdr:sp>
    <xdr:clientData/>
  </xdr:oneCellAnchor>
  <xdr:twoCellAnchor>
    <xdr:from>
      <xdr:col>9</xdr:col>
      <xdr:colOff>666750</xdr:colOff>
      <xdr:row>38</xdr:row>
      <xdr:rowOff>180976</xdr:rowOff>
    </xdr:from>
    <xdr:to>
      <xdr:col>9</xdr:col>
      <xdr:colOff>666750</xdr:colOff>
      <xdr:row>41</xdr:row>
      <xdr:rowOff>9526</xdr:rowOff>
    </xdr:to>
    <xdr:cxnSp macro="">
      <xdr:nvCxnSpPr>
        <xdr:cNvPr id="79" name="Rechte verbindingslijn 78"/>
        <xdr:cNvCxnSpPr/>
      </xdr:nvCxnSpPr>
      <xdr:spPr>
        <a:xfrm rot="5400000">
          <a:off x="5424487" y="9767889"/>
          <a:ext cx="428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209550</xdr:colOff>
      <xdr:row>38</xdr:row>
      <xdr:rowOff>180976</xdr:rowOff>
    </xdr:from>
    <xdr:to>
      <xdr:col>9</xdr:col>
      <xdr:colOff>209550</xdr:colOff>
      <xdr:row>41</xdr:row>
      <xdr:rowOff>9526</xdr:rowOff>
    </xdr:to>
    <xdr:cxnSp macro="">
      <xdr:nvCxnSpPr>
        <xdr:cNvPr id="80" name="Rechte verbindingslijn 79"/>
        <xdr:cNvCxnSpPr/>
      </xdr:nvCxnSpPr>
      <xdr:spPr>
        <a:xfrm rot="5400000">
          <a:off x="5776912" y="6719889"/>
          <a:ext cx="428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39</xdr:row>
      <xdr:rowOff>9526</xdr:rowOff>
    </xdr:from>
    <xdr:to>
      <xdr:col>12</xdr:col>
      <xdr:colOff>0</xdr:colOff>
      <xdr:row>41</xdr:row>
      <xdr:rowOff>28576</xdr:rowOff>
    </xdr:to>
    <xdr:cxnSp macro="">
      <xdr:nvCxnSpPr>
        <xdr:cNvPr id="83" name="Rechte verbindingslijn 82"/>
        <xdr:cNvCxnSpPr/>
      </xdr:nvCxnSpPr>
      <xdr:spPr>
        <a:xfrm rot="5400000">
          <a:off x="6696075" y="9801226"/>
          <a:ext cx="400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581025</xdr:colOff>
      <xdr:row>47</xdr:row>
      <xdr:rowOff>9525</xdr:rowOff>
    </xdr:from>
    <xdr:to>
      <xdr:col>6</xdr:col>
      <xdr:colOff>581025</xdr:colOff>
      <xdr:row>49</xdr:row>
      <xdr:rowOff>28575</xdr:rowOff>
    </xdr:to>
    <xdr:cxnSp macro="">
      <xdr:nvCxnSpPr>
        <xdr:cNvPr id="86" name="Rechte verbindingslijn 85"/>
        <xdr:cNvCxnSpPr/>
      </xdr:nvCxnSpPr>
      <xdr:spPr>
        <a:xfrm rot="5400000">
          <a:off x="4133850" y="8467725"/>
          <a:ext cx="400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46</xdr:row>
      <xdr:rowOff>180975</xdr:rowOff>
    </xdr:from>
    <xdr:to>
      <xdr:col>6</xdr:col>
      <xdr:colOff>0</xdr:colOff>
      <xdr:row>49</xdr:row>
      <xdr:rowOff>9525</xdr:rowOff>
    </xdr:to>
    <xdr:cxnSp macro="">
      <xdr:nvCxnSpPr>
        <xdr:cNvPr id="87" name="Rechte verbindingslijn 86"/>
        <xdr:cNvCxnSpPr/>
      </xdr:nvCxnSpPr>
      <xdr:spPr>
        <a:xfrm rot="5400000">
          <a:off x="5476875" y="10925175"/>
          <a:ext cx="400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342900</xdr:colOff>
      <xdr:row>46</xdr:row>
      <xdr:rowOff>180975</xdr:rowOff>
    </xdr:from>
    <xdr:to>
      <xdr:col>3</xdr:col>
      <xdr:colOff>342900</xdr:colOff>
      <xdr:row>49</xdr:row>
      <xdr:rowOff>9525</xdr:rowOff>
    </xdr:to>
    <xdr:cxnSp macro="">
      <xdr:nvCxnSpPr>
        <xdr:cNvPr id="88" name="Rechte verbindingslijn 87"/>
        <xdr:cNvCxnSpPr/>
      </xdr:nvCxnSpPr>
      <xdr:spPr>
        <a:xfrm rot="5400000">
          <a:off x="3895725" y="10925175"/>
          <a:ext cx="400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46</xdr:row>
      <xdr:rowOff>180975</xdr:rowOff>
    </xdr:from>
    <xdr:to>
      <xdr:col>4</xdr:col>
      <xdr:colOff>0</xdr:colOff>
      <xdr:row>49</xdr:row>
      <xdr:rowOff>9525</xdr:rowOff>
    </xdr:to>
    <xdr:cxnSp macro="">
      <xdr:nvCxnSpPr>
        <xdr:cNvPr id="89" name="Rechte verbindingslijn 88"/>
        <xdr:cNvCxnSpPr/>
      </xdr:nvCxnSpPr>
      <xdr:spPr>
        <a:xfrm rot="5400000">
          <a:off x="4162425" y="10925175"/>
          <a:ext cx="400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400050</xdr:colOff>
      <xdr:row>47</xdr:row>
      <xdr:rowOff>47625</xdr:rowOff>
    </xdr:from>
    <xdr:ext cx="570477" cy="264560"/>
    <xdr:sp macro="" textlink="">
      <xdr:nvSpPr>
        <xdr:cNvPr id="90" name="Tekstvak 89"/>
        <xdr:cNvSpPr txBox="1"/>
      </xdr:nvSpPr>
      <xdr:spPr>
        <a:xfrm>
          <a:off x="3543300" y="10782300"/>
          <a:ext cx="5704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A</a:t>
          </a:r>
          <a:r>
            <a:rPr lang="nl-NL" sz="1100" b="1" baseline="30000"/>
            <a:t>T</a:t>
          </a:r>
          <a:r>
            <a:rPr lang="nl-NL" sz="1100" b="1" baseline="0"/>
            <a:t>  </a:t>
          </a:r>
          <a:r>
            <a:rPr lang="nl-NL" sz="1100" b="1" u="sng" baseline="0"/>
            <a:t>z </a:t>
          </a:r>
          <a:r>
            <a:rPr lang="nl-NL" sz="1100" b="1" u="none" baseline="0"/>
            <a:t> =</a:t>
          </a:r>
          <a:endParaRPr lang="nl-NL" sz="1100" b="1" u="none"/>
        </a:p>
      </xdr:txBody>
    </xdr:sp>
    <xdr:clientData/>
  </xdr:oneCellAnchor>
  <xdr:oneCellAnchor>
    <xdr:from>
      <xdr:col>4</xdr:col>
      <xdr:colOff>295275</xdr:colOff>
      <xdr:row>47</xdr:row>
      <xdr:rowOff>47625</xdr:rowOff>
    </xdr:from>
    <xdr:ext cx="973600" cy="264560"/>
    <xdr:sp macro="" textlink="">
      <xdr:nvSpPr>
        <xdr:cNvPr id="91" name="Tekstvak 90"/>
        <xdr:cNvSpPr txBox="1"/>
      </xdr:nvSpPr>
      <xdr:spPr>
        <a:xfrm>
          <a:off x="6076950" y="8305800"/>
          <a:ext cx="973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(A</a:t>
          </a:r>
          <a:r>
            <a:rPr lang="nl-NL" sz="1100" b="1" baseline="30000"/>
            <a:t>T</a:t>
          </a:r>
          <a:r>
            <a:rPr lang="nl-NL" sz="1100" b="1"/>
            <a:t>A)</a:t>
          </a:r>
          <a:r>
            <a:rPr lang="nl-NL" sz="1100" b="1" baseline="30000"/>
            <a:t>-1 </a:t>
          </a:r>
          <a:r>
            <a:rPr lang="nl-NL" sz="1100" b="1"/>
            <a:t>A</a:t>
          </a:r>
          <a:r>
            <a:rPr lang="nl-NL" sz="1100" b="1" baseline="30000"/>
            <a:t>T</a:t>
          </a:r>
          <a:r>
            <a:rPr lang="nl-NL" sz="1100" b="1" baseline="0"/>
            <a:t>  </a:t>
          </a:r>
          <a:r>
            <a:rPr lang="nl-NL" sz="1100" b="1" u="sng" baseline="0"/>
            <a:t>z </a:t>
          </a:r>
          <a:r>
            <a:rPr lang="nl-NL" sz="1100" b="1" u="none" baseline="0"/>
            <a:t> =</a:t>
          </a:r>
          <a:endParaRPr lang="nl-NL" sz="1100" b="1" u="none"/>
        </a:p>
      </xdr:txBody>
    </xdr:sp>
    <xdr:clientData/>
  </xdr:oneCellAnchor>
  <xdr:oneCellAnchor>
    <xdr:from>
      <xdr:col>0</xdr:col>
      <xdr:colOff>352425</xdr:colOff>
      <xdr:row>47</xdr:row>
      <xdr:rowOff>28575</xdr:rowOff>
    </xdr:from>
    <xdr:ext cx="406586" cy="264560"/>
    <xdr:sp macro="" textlink="">
      <xdr:nvSpPr>
        <xdr:cNvPr id="92" name="Tekstvak 91"/>
        <xdr:cNvSpPr txBox="1"/>
      </xdr:nvSpPr>
      <xdr:spPr>
        <a:xfrm>
          <a:off x="3495675" y="8286750"/>
          <a:ext cx="40658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 baseline="0"/>
            <a:t> </a:t>
          </a:r>
          <a:r>
            <a:rPr lang="nl-NL" sz="1100" b="1" u="sng" baseline="0"/>
            <a:t>z </a:t>
          </a:r>
          <a:r>
            <a:rPr lang="nl-NL" sz="1100" b="1" u="none" baseline="0"/>
            <a:t> =</a:t>
          </a:r>
          <a:endParaRPr lang="nl-NL" sz="1100" b="1" u="none"/>
        </a:p>
      </xdr:txBody>
    </xdr:sp>
    <xdr:clientData/>
  </xdr:oneCellAnchor>
  <xdr:twoCellAnchor>
    <xdr:from>
      <xdr:col>6</xdr:col>
      <xdr:colOff>152401</xdr:colOff>
      <xdr:row>39</xdr:row>
      <xdr:rowOff>19048</xdr:rowOff>
    </xdr:from>
    <xdr:to>
      <xdr:col>6</xdr:col>
      <xdr:colOff>152403</xdr:colOff>
      <xdr:row>44</xdr:row>
      <xdr:rowOff>180978</xdr:rowOff>
    </xdr:to>
    <xdr:cxnSp macro="">
      <xdr:nvCxnSpPr>
        <xdr:cNvPr id="94" name="Rechte verbindingslijn 93"/>
        <xdr:cNvCxnSpPr/>
      </xdr:nvCxnSpPr>
      <xdr:spPr>
        <a:xfrm rot="16200000" flipH="1">
          <a:off x="5272087" y="5376862"/>
          <a:ext cx="1114430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152400</xdr:colOff>
      <xdr:row>38</xdr:row>
      <xdr:rowOff>180977</xdr:rowOff>
    </xdr:from>
    <xdr:to>
      <xdr:col>0</xdr:col>
      <xdr:colOff>152400</xdr:colOff>
      <xdr:row>41</xdr:row>
      <xdr:rowOff>47627</xdr:rowOff>
    </xdr:to>
    <xdr:cxnSp macro="">
      <xdr:nvCxnSpPr>
        <xdr:cNvPr id="98" name="Rechte verbindingslijn 97"/>
        <xdr:cNvCxnSpPr/>
      </xdr:nvCxnSpPr>
      <xdr:spPr>
        <a:xfrm rot="5400000">
          <a:off x="-80963" y="6738940"/>
          <a:ext cx="4667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38</xdr:row>
      <xdr:rowOff>180976</xdr:rowOff>
    </xdr:from>
    <xdr:to>
      <xdr:col>8</xdr:col>
      <xdr:colOff>171450</xdr:colOff>
      <xdr:row>41</xdr:row>
      <xdr:rowOff>9526</xdr:rowOff>
    </xdr:to>
    <xdr:cxnSp macro="">
      <xdr:nvCxnSpPr>
        <xdr:cNvPr id="99" name="Rechte verbindingslijn 98"/>
        <xdr:cNvCxnSpPr/>
      </xdr:nvCxnSpPr>
      <xdr:spPr>
        <a:xfrm rot="5400000">
          <a:off x="5033962" y="6719889"/>
          <a:ext cx="428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581025</xdr:colOff>
      <xdr:row>39</xdr:row>
      <xdr:rowOff>66675</xdr:rowOff>
    </xdr:from>
    <xdr:ext cx="254942" cy="264560"/>
    <xdr:sp macro="" textlink="">
      <xdr:nvSpPr>
        <xdr:cNvPr id="100" name="Tekstvak 99"/>
        <xdr:cNvSpPr txBox="1"/>
      </xdr:nvSpPr>
      <xdr:spPr>
        <a:xfrm>
          <a:off x="4943475" y="6610350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/>
            <a:t>=</a:t>
          </a:r>
        </a:p>
      </xdr:txBody>
    </xdr:sp>
    <xdr:clientData/>
  </xdr:oneCellAnchor>
  <xdr:twoCellAnchor>
    <xdr:from>
      <xdr:col>9</xdr:col>
      <xdr:colOff>666750</xdr:colOff>
      <xdr:row>38</xdr:row>
      <xdr:rowOff>180976</xdr:rowOff>
    </xdr:from>
    <xdr:to>
      <xdr:col>9</xdr:col>
      <xdr:colOff>666750</xdr:colOff>
      <xdr:row>41</xdr:row>
      <xdr:rowOff>9526</xdr:rowOff>
    </xdr:to>
    <xdr:cxnSp macro="">
      <xdr:nvCxnSpPr>
        <xdr:cNvPr id="113" name="Rechte verbindingslijn 112"/>
        <xdr:cNvCxnSpPr/>
      </xdr:nvCxnSpPr>
      <xdr:spPr>
        <a:xfrm rot="5400000">
          <a:off x="6786562" y="6719889"/>
          <a:ext cx="428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466725</xdr:colOff>
      <xdr:row>47</xdr:row>
      <xdr:rowOff>57150</xdr:rowOff>
    </xdr:from>
    <xdr:ext cx="254942" cy="264560"/>
    <xdr:sp macro="" textlink="">
      <xdr:nvSpPr>
        <xdr:cNvPr id="122" name="Tekstvak 121"/>
        <xdr:cNvSpPr txBox="1"/>
      </xdr:nvSpPr>
      <xdr:spPr>
        <a:xfrm>
          <a:off x="5543550" y="5238750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/>
            <a:t>=</a:t>
          </a:r>
        </a:p>
      </xdr:txBody>
    </xdr:sp>
    <xdr:clientData/>
  </xdr:oneCellAnchor>
  <xdr:twoCellAnchor>
    <xdr:from>
      <xdr:col>1</xdr:col>
      <xdr:colOff>190501</xdr:colOff>
      <xdr:row>45</xdr:row>
      <xdr:rowOff>0</xdr:rowOff>
    </xdr:from>
    <xdr:to>
      <xdr:col>1</xdr:col>
      <xdr:colOff>190503</xdr:colOff>
      <xdr:row>50</xdr:row>
      <xdr:rowOff>161928</xdr:rowOff>
    </xdr:to>
    <xdr:cxnSp macro="">
      <xdr:nvCxnSpPr>
        <xdr:cNvPr id="123" name="Rechte verbindingslijn 122"/>
        <xdr:cNvCxnSpPr/>
      </xdr:nvCxnSpPr>
      <xdr:spPr>
        <a:xfrm rot="16200000" flipH="1">
          <a:off x="4710112" y="5357812"/>
          <a:ext cx="1114430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438151</xdr:colOff>
      <xdr:row>45</xdr:row>
      <xdr:rowOff>0</xdr:rowOff>
    </xdr:from>
    <xdr:to>
      <xdr:col>1</xdr:col>
      <xdr:colOff>438153</xdr:colOff>
      <xdr:row>50</xdr:row>
      <xdr:rowOff>161928</xdr:rowOff>
    </xdr:to>
    <xdr:cxnSp macro="">
      <xdr:nvCxnSpPr>
        <xdr:cNvPr id="124" name="Rechte verbindingslijn 123"/>
        <xdr:cNvCxnSpPr/>
      </xdr:nvCxnSpPr>
      <xdr:spPr>
        <a:xfrm rot="16200000" flipH="1">
          <a:off x="4957762" y="5357812"/>
          <a:ext cx="1114430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552450</xdr:colOff>
      <xdr:row>47</xdr:row>
      <xdr:rowOff>66675</xdr:rowOff>
    </xdr:from>
    <xdr:ext cx="285750" cy="302660"/>
    <xdr:sp macro="" textlink="">
      <xdr:nvSpPr>
        <xdr:cNvPr id="126" name="Tekstvak 125"/>
        <xdr:cNvSpPr txBox="1"/>
      </xdr:nvSpPr>
      <xdr:spPr>
        <a:xfrm>
          <a:off x="4305300" y="8324850"/>
          <a:ext cx="285750" cy="3026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/>
            <a:t> =</a:t>
          </a:r>
        </a:p>
      </xdr:txBody>
    </xdr:sp>
    <xdr:clientData/>
  </xdr:oneCellAnchor>
  <xdr:twoCellAnchor>
    <xdr:from>
      <xdr:col>7</xdr:col>
      <xdr:colOff>457200</xdr:colOff>
      <xdr:row>46</xdr:row>
      <xdr:rowOff>171453</xdr:rowOff>
    </xdr:from>
    <xdr:to>
      <xdr:col>7</xdr:col>
      <xdr:colOff>457200</xdr:colOff>
      <xdr:row>49</xdr:row>
      <xdr:rowOff>28578</xdr:rowOff>
    </xdr:to>
    <xdr:cxnSp macro="">
      <xdr:nvCxnSpPr>
        <xdr:cNvPr id="127" name="Rechte verbindingslijn 126"/>
        <xdr:cNvCxnSpPr/>
      </xdr:nvCxnSpPr>
      <xdr:spPr>
        <a:xfrm rot="5400000">
          <a:off x="4605337" y="8453441"/>
          <a:ext cx="428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46</xdr:row>
      <xdr:rowOff>180978</xdr:rowOff>
    </xdr:from>
    <xdr:to>
      <xdr:col>7</xdr:col>
      <xdr:colOff>228600</xdr:colOff>
      <xdr:row>49</xdr:row>
      <xdr:rowOff>38103</xdr:rowOff>
    </xdr:to>
    <xdr:cxnSp macro="">
      <xdr:nvCxnSpPr>
        <xdr:cNvPr id="128" name="Rechte verbindingslijn 127"/>
        <xdr:cNvCxnSpPr/>
      </xdr:nvCxnSpPr>
      <xdr:spPr>
        <a:xfrm rot="5400000">
          <a:off x="7015162" y="5386391"/>
          <a:ext cx="428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704850</xdr:colOff>
      <xdr:row>67</xdr:row>
      <xdr:rowOff>180975</xdr:rowOff>
    </xdr:from>
    <xdr:ext cx="257891" cy="264560"/>
    <xdr:sp macro="" textlink="">
      <xdr:nvSpPr>
        <xdr:cNvPr id="130" name="Tekstvak 129"/>
        <xdr:cNvSpPr txBox="1"/>
      </xdr:nvSpPr>
      <xdr:spPr>
        <a:xfrm>
          <a:off x="5067300" y="10534650"/>
          <a:ext cx="2578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/>
            <a:t>X</a:t>
          </a:r>
        </a:p>
      </xdr:txBody>
    </xdr:sp>
    <xdr:clientData/>
  </xdr:oneCellAnchor>
  <xdr:oneCellAnchor>
    <xdr:from>
      <xdr:col>4</xdr:col>
      <xdr:colOff>600076</xdr:colOff>
      <xdr:row>61</xdr:row>
      <xdr:rowOff>28575</xdr:rowOff>
    </xdr:from>
    <xdr:ext cx="514350" cy="361950"/>
    <xdr:sp macro="" textlink="">
      <xdr:nvSpPr>
        <xdr:cNvPr id="131" name="Tekstvak 130"/>
        <xdr:cNvSpPr txBox="1"/>
      </xdr:nvSpPr>
      <xdr:spPr>
        <a:xfrm>
          <a:off x="3133726" y="9239250"/>
          <a:ext cx="514350" cy="361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/>
            <a:t>Y</a:t>
          </a:r>
        </a:p>
      </xdr:txBody>
    </xdr:sp>
    <xdr:clientData/>
  </xdr:oneCellAnchor>
  <xdr:twoCellAnchor>
    <xdr:from>
      <xdr:col>3</xdr:col>
      <xdr:colOff>219075</xdr:colOff>
      <xdr:row>60</xdr:row>
      <xdr:rowOff>104775</xdr:rowOff>
    </xdr:from>
    <xdr:to>
      <xdr:col>9</xdr:col>
      <xdr:colOff>381000</xdr:colOff>
      <xdr:row>70</xdr:row>
      <xdr:rowOff>47625</xdr:rowOff>
    </xdr:to>
    <xdr:graphicFrame macro="">
      <xdr:nvGraphicFramePr>
        <xdr:cNvPr id="132" name="Grafiek 1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514350</xdr:colOff>
      <xdr:row>67</xdr:row>
      <xdr:rowOff>85725</xdr:rowOff>
    </xdr:from>
    <xdr:ext cx="257891" cy="264560"/>
    <xdr:sp macro="" textlink="">
      <xdr:nvSpPr>
        <xdr:cNvPr id="133" name="Tekstvak 132"/>
        <xdr:cNvSpPr txBox="1"/>
      </xdr:nvSpPr>
      <xdr:spPr>
        <a:xfrm>
          <a:off x="5686425" y="10848975"/>
          <a:ext cx="2578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/>
            <a:t>X</a:t>
          </a:r>
        </a:p>
      </xdr:txBody>
    </xdr:sp>
    <xdr:clientData/>
  </xdr:oneCellAnchor>
  <xdr:oneCellAnchor>
    <xdr:from>
      <xdr:col>6</xdr:col>
      <xdr:colOff>95250</xdr:colOff>
      <xdr:row>61</xdr:row>
      <xdr:rowOff>9525</xdr:rowOff>
    </xdr:from>
    <xdr:ext cx="253403" cy="264560"/>
    <xdr:sp macro="" textlink="">
      <xdr:nvSpPr>
        <xdr:cNvPr id="134" name="Tekstvak 133"/>
        <xdr:cNvSpPr txBox="1"/>
      </xdr:nvSpPr>
      <xdr:spPr>
        <a:xfrm>
          <a:off x="3943350" y="9629775"/>
          <a:ext cx="2534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/>
            <a:t>Y</a:t>
          </a:r>
        </a:p>
      </xdr:txBody>
    </xdr:sp>
    <xdr:clientData/>
  </xdr:oneCellAnchor>
  <xdr:twoCellAnchor>
    <xdr:from>
      <xdr:col>5</xdr:col>
      <xdr:colOff>514351</xdr:colOff>
      <xdr:row>71</xdr:row>
      <xdr:rowOff>200026</xdr:rowOff>
    </xdr:from>
    <xdr:to>
      <xdr:col>5</xdr:col>
      <xdr:colOff>514351</xdr:colOff>
      <xdr:row>75</xdr:row>
      <xdr:rowOff>2</xdr:rowOff>
    </xdr:to>
    <xdr:cxnSp macro="">
      <xdr:nvCxnSpPr>
        <xdr:cNvPr id="135" name="Rechte verbindingslijn 134"/>
        <xdr:cNvCxnSpPr/>
      </xdr:nvCxnSpPr>
      <xdr:spPr>
        <a:xfrm rot="5400000">
          <a:off x="3362325" y="12020552"/>
          <a:ext cx="59055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200031</xdr:colOff>
      <xdr:row>71</xdr:row>
      <xdr:rowOff>161927</xdr:rowOff>
    </xdr:from>
    <xdr:to>
      <xdr:col>8</xdr:col>
      <xdr:colOff>209557</xdr:colOff>
      <xdr:row>78</xdr:row>
      <xdr:rowOff>1</xdr:rowOff>
    </xdr:to>
    <xdr:cxnSp macro="">
      <xdr:nvCxnSpPr>
        <xdr:cNvPr id="136" name="Rechte verbindingslijn 135"/>
        <xdr:cNvCxnSpPr/>
      </xdr:nvCxnSpPr>
      <xdr:spPr>
        <a:xfrm rot="16200000" flipH="1">
          <a:off x="4681544" y="12282489"/>
          <a:ext cx="1200149" cy="95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504825</xdr:colOff>
      <xdr:row>72</xdr:row>
      <xdr:rowOff>95250</xdr:rowOff>
    </xdr:from>
    <xdr:ext cx="254942" cy="264560"/>
    <xdr:sp macro="" textlink="">
      <xdr:nvSpPr>
        <xdr:cNvPr id="137" name="Tekstvak 136"/>
        <xdr:cNvSpPr txBox="1"/>
      </xdr:nvSpPr>
      <xdr:spPr>
        <a:xfrm>
          <a:off x="3648075" y="6829425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/>
            <a:t>*</a:t>
          </a:r>
        </a:p>
      </xdr:txBody>
    </xdr:sp>
    <xdr:clientData/>
  </xdr:oneCellAnchor>
  <xdr:twoCellAnchor>
    <xdr:from>
      <xdr:col>11</xdr:col>
      <xdr:colOff>581026</xdr:colOff>
      <xdr:row>71</xdr:row>
      <xdr:rowOff>200027</xdr:rowOff>
    </xdr:from>
    <xdr:to>
      <xdr:col>11</xdr:col>
      <xdr:colOff>590551</xdr:colOff>
      <xdr:row>75</xdr:row>
      <xdr:rowOff>3</xdr:rowOff>
    </xdr:to>
    <xdr:cxnSp macro="">
      <xdr:nvCxnSpPr>
        <xdr:cNvPr id="139" name="Rechte verbindingslijn 138"/>
        <xdr:cNvCxnSpPr/>
      </xdr:nvCxnSpPr>
      <xdr:spPr>
        <a:xfrm rot="5400000">
          <a:off x="7291388" y="12015790"/>
          <a:ext cx="590551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</xdr:colOff>
      <xdr:row>78</xdr:row>
      <xdr:rowOff>209550</xdr:rowOff>
    </xdr:from>
    <xdr:to>
      <xdr:col>3</xdr:col>
      <xdr:colOff>19052</xdr:colOff>
      <xdr:row>82</xdr:row>
      <xdr:rowOff>9528</xdr:rowOff>
    </xdr:to>
    <xdr:cxnSp macro="">
      <xdr:nvCxnSpPr>
        <xdr:cNvPr id="140" name="Rechte verbindingslijn 139"/>
        <xdr:cNvCxnSpPr/>
      </xdr:nvCxnSpPr>
      <xdr:spPr>
        <a:xfrm rot="5400000">
          <a:off x="1733550" y="13382626"/>
          <a:ext cx="590553" cy="190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80</xdr:row>
      <xdr:rowOff>9525</xdr:rowOff>
    </xdr:from>
    <xdr:to>
      <xdr:col>10</xdr:col>
      <xdr:colOff>0</xdr:colOff>
      <xdr:row>83</xdr:row>
      <xdr:rowOff>9525</xdr:rowOff>
    </xdr:to>
    <xdr:cxnSp macro="">
      <xdr:nvCxnSpPr>
        <xdr:cNvPr id="141" name="Rechte verbindingslijn 140"/>
        <xdr:cNvCxnSpPr/>
      </xdr:nvCxnSpPr>
      <xdr:spPr>
        <a:xfrm rot="5400000">
          <a:off x="6200775" y="13592175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695325</xdr:colOff>
      <xdr:row>79</xdr:row>
      <xdr:rowOff>180976</xdr:rowOff>
    </xdr:from>
    <xdr:to>
      <xdr:col>9</xdr:col>
      <xdr:colOff>0</xdr:colOff>
      <xdr:row>83</xdr:row>
      <xdr:rowOff>9526</xdr:rowOff>
    </xdr:to>
    <xdr:cxnSp macro="">
      <xdr:nvCxnSpPr>
        <xdr:cNvPr id="142" name="Rechte verbindingslijn 141"/>
        <xdr:cNvCxnSpPr/>
      </xdr:nvCxnSpPr>
      <xdr:spPr>
        <a:xfrm rot="5400000">
          <a:off x="5576888" y="13577888"/>
          <a:ext cx="5905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190500</xdr:colOff>
      <xdr:row>80</xdr:row>
      <xdr:rowOff>9525</xdr:rowOff>
    </xdr:from>
    <xdr:to>
      <xdr:col>6</xdr:col>
      <xdr:colOff>190500</xdr:colOff>
      <xdr:row>83</xdr:row>
      <xdr:rowOff>9525</xdr:rowOff>
    </xdr:to>
    <xdr:cxnSp macro="">
      <xdr:nvCxnSpPr>
        <xdr:cNvPr id="143" name="Rechte verbindingslijn 142"/>
        <xdr:cNvCxnSpPr/>
      </xdr:nvCxnSpPr>
      <xdr:spPr>
        <a:xfrm rot="5400000">
          <a:off x="3752850" y="13592175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79</xdr:row>
      <xdr:rowOff>180975</xdr:rowOff>
    </xdr:from>
    <xdr:to>
      <xdr:col>7</xdr:col>
      <xdr:colOff>76200</xdr:colOff>
      <xdr:row>82</xdr:row>
      <xdr:rowOff>161925</xdr:rowOff>
    </xdr:to>
    <xdr:cxnSp macro="">
      <xdr:nvCxnSpPr>
        <xdr:cNvPr id="144" name="Rechte verbindingslijn 143"/>
        <xdr:cNvCxnSpPr/>
      </xdr:nvCxnSpPr>
      <xdr:spPr>
        <a:xfrm rot="5400000">
          <a:off x="4257675" y="13563600"/>
          <a:ext cx="5524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171450</xdr:colOff>
      <xdr:row>80</xdr:row>
      <xdr:rowOff>85725</xdr:rowOff>
    </xdr:from>
    <xdr:ext cx="570477" cy="264560"/>
    <xdr:sp macro="" textlink="">
      <xdr:nvSpPr>
        <xdr:cNvPr id="145" name="Tekstvak 144"/>
        <xdr:cNvSpPr txBox="1"/>
      </xdr:nvSpPr>
      <xdr:spPr>
        <a:xfrm>
          <a:off x="3409950" y="13382625"/>
          <a:ext cx="5704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A</a:t>
          </a:r>
          <a:r>
            <a:rPr lang="nl-NL" sz="1100" b="1" baseline="30000"/>
            <a:t>T</a:t>
          </a:r>
          <a:r>
            <a:rPr lang="nl-NL" sz="1100" b="1" baseline="0"/>
            <a:t>  </a:t>
          </a:r>
          <a:r>
            <a:rPr lang="nl-NL" sz="1100" b="1" u="sng" baseline="0"/>
            <a:t>z </a:t>
          </a:r>
          <a:r>
            <a:rPr lang="nl-NL" sz="1100" b="1" u="none" baseline="0"/>
            <a:t> =</a:t>
          </a:r>
          <a:endParaRPr lang="nl-NL" sz="1100" b="1" u="none"/>
        </a:p>
      </xdr:txBody>
    </xdr:sp>
    <xdr:clientData/>
  </xdr:oneCellAnchor>
  <xdr:oneCellAnchor>
    <xdr:from>
      <xdr:col>7</xdr:col>
      <xdr:colOff>314325</xdr:colOff>
      <xdr:row>80</xdr:row>
      <xdr:rowOff>161925</xdr:rowOff>
    </xdr:from>
    <xdr:ext cx="973600" cy="264560"/>
    <xdr:sp macro="" textlink="">
      <xdr:nvSpPr>
        <xdr:cNvPr id="146" name="Tekstvak 145"/>
        <xdr:cNvSpPr txBox="1"/>
      </xdr:nvSpPr>
      <xdr:spPr>
        <a:xfrm>
          <a:off x="4772025" y="13458825"/>
          <a:ext cx="973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(A</a:t>
          </a:r>
          <a:r>
            <a:rPr lang="nl-NL" sz="1100" b="1" baseline="30000"/>
            <a:t>T</a:t>
          </a:r>
          <a:r>
            <a:rPr lang="nl-NL" sz="1100" b="1"/>
            <a:t>A)</a:t>
          </a:r>
          <a:r>
            <a:rPr lang="nl-NL" sz="1100" b="1" baseline="30000"/>
            <a:t>-1 </a:t>
          </a:r>
          <a:r>
            <a:rPr lang="nl-NL" sz="1100" b="1"/>
            <a:t>A</a:t>
          </a:r>
          <a:r>
            <a:rPr lang="nl-NL" sz="1100" b="1" baseline="30000"/>
            <a:t>T</a:t>
          </a:r>
          <a:r>
            <a:rPr lang="nl-NL" sz="1100" b="1" baseline="0"/>
            <a:t>  </a:t>
          </a:r>
          <a:r>
            <a:rPr lang="nl-NL" sz="1100" b="1" u="sng" baseline="0"/>
            <a:t>z </a:t>
          </a:r>
          <a:r>
            <a:rPr lang="nl-NL" sz="1100" b="1" u="none" baseline="0"/>
            <a:t> =</a:t>
          </a:r>
          <a:endParaRPr lang="nl-NL" sz="1100" b="1" u="none"/>
        </a:p>
      </xdr:txBody>
    </xdr:sp>
    <xdr:clientData/>
  </xdr:oneCellAnchor>
  <xdr:oneCellAnchor>
    <xdr:from>
      <xdr:col>3</xdr:col>
      <xdr:colOff>352425</xdr:colOff>
      <xdr:row>80</xdr:row>
      <xdr:rowOff>28575</xdr:rowOff>
    </xdr:from>
    <xdr:ext cx="406586" cy="264560"/>
    <xdr:sp macro="" textlink="">
      <xdr:nvSpPr>
        <xdr:cNvPr id="147" name="Tekstvak 146"/>
        <xdr:cNvSpPr txBox="1"/>
      </xdr:nvSpPr>
      <xdr:spPr>
        <a:xfrm>
          <a:off x="352425" y="8286750"/>
          <a:ext cx="40658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 baseline="0"/>
            <a:t> </a:t>
          </a:r>
          <a:r>
            <a:rPr lang="nl-NL" sz="1100" b="1" u="sng" baseline="0"/>
            <a:t>z </a:t>
          </a:r>
          <a:r>
            <a:rPr lang="nl-NL" sz="1100" b="1" u="none" baseline="0"/>
            <a:t> =</a:t>
          </a:r>
          <a:endParaRPr lang="nl-NL" sz="1100" b="1" u="none"/>
        </a:p>
      </xdr:txBody>
    </xdr:sp>
    <xdr:clientData/>
  </xdr:oneCellAnchor>
  <xdr:twoCellAnchor>
    <xdr:from>
      <xdr:col>6</xdr:col>
      <xdr:colOff>152401</xdr:colOff>
      <xdr:row>72</xdr:row>
      <xdr:rowOff>19048</xdr:rowOff>
    </xdr:from>
    <xdr:to>
      <xdr:col>6</xdr:col>
      <xdr:colOff>152403</xdr:colOff>
      <xdr:row>77</xdr:row>
      <xdr:rowOff>180978</xdr:rowOff>
    </xdr:to>
    <xdr:cxnSp macro="">
      <xdr:nvCxnSpPr>
        <xdr:cNvPr id="148" name="Rechte verbindingslijn 147"/>
        <xdr:cNvCxnSpPr/>
      </xdr:nvCxnSpPr>
      <xdr:spPr>
        <a:xfrm rot="16200000" flipH="1">
          <a:off x="3348037" y="7310437"/>
          <a:ext cx="1114430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71</xdr:row>
      <xdr:rowOff>200026</xdr:rowOff>
    </xdr:from>
    <xdr:to>
      <xdr:col>9</xdr:col>
      <xdr:colOff>28575</xdr:colOff>
      <xdr:row>75</xdr:row>
      <xdr:rowOff>19053</xdr:rowOff>
    </xdr:to>
    <xdr:cxnSp macro="">
      <xdr:nvCxnSpPr>
        <xdr:cNvPr id="149" name="Rechte verbindingslijn 148"/>
        <xdr:cNvCxnSpPr/>
      </xdr:nvCxnSpPr>
      <xdr:spPr>
        <a:xfrm rot="16200000" flipH="1">
          <a:off x="5500687" y="12025314"/>
          <a:ext cx="609602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333375</xdr:colOff>
      <xdr:row>72</xdr:row>
      <xdr:rowOff>66675</xdr:rowOff>
    </xdr:from>
    <xdr:ext cx="254942" cy="264560"/>
    <xdr:sp macro="" textlink="">
      <xdr:nvSpPr>
        <xdr:cNvPr id="150" name="Tekstvak 149"/>
        <xdr:cNvSpPr txBox="1"/>
      </xdr:nvSpPr>
      <xdr:spPr>
        <a:xfrm>
          <a:off x="5410200" y="11811000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/>
            <a:t>=</a:t>
          </a:r>
        </a:p>
      </xdr:txBody>
    </xdr:sp>
    <xdr:clientData/>
  </xdr:oneCellAnchor>
  <xdr:twoCellAnchor>
    <xdr:from>
      <xdr:col>0</xdr:col>
      <xdr:colOff>38100</xdr:colOff>
      <xdr:row>78</xdr:row>
      <xdr:rowOff>180977</xdr:rowOff>
    </xdr:from>
    <xdr:to>
      <xdr:col>0</xdr:col>
      <xdr:colOff>38100</xdr:colOff>
      <xdr:row>82</xdr:row>
      <xdr:rowOff>9528</xdr:rowOff>
    </xdr:to>
    <xdr:cxnSp macro="">
      <xdr:nvCxnSpPr>
        <xdr:cNvPr id="151" name="Rechte verbindingslijn 150"/>
        <xdr:cNvCxnSpPr/>
      </xdr:nvCxnSpPr>
      <xdr:spPr>
        <a:xfrm rot="5400000">
          <a:off x="-271463" y="13377865"/>
          <a:ext cx="61912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466725</xdr:colOff>
      <xdr:row>80</xdr:row>
      <xdr:rowOff>57150</xdr:rowOff>
    </xdr:from>
    <xdr:ext cx="254942" cy="264560"/>
    <xdr:sp macro="" textlink="">
      <xdr:nvSpPr>
        <xdr:cNvPr id="152" name="Tekstvak 151"/>
        <xdr:cNvSpPr txBox="1"/>
      </xdr:nvSpPr>
      <xdr:spPr>
        <a:xfrm>
          <a:off x="1171575" y="8315325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/>
            <a:t>=</a:t>
          </a:r>
        </a:p>
      </xdr:txBody>
    </xdr:sp>
    <xdr:clientData/>
  </xdr:oneCellAnchor>
  <xdr:twoCellAnchor>
    <xdr:from>
      <xdr:col>4</xdr:col>
      <xdr:colOff>190501</xdr:colOff>
      <xdr:row>78</xdr:row>
      <xdr:rowOff>0</xdr:rowOff>
    </xdr:from>
    <xdr:to>
      <xdr:col>4</xdr:col>
      <xdr:colOff>190503</xdr:colOff>
      <xdr:row>83</xdr:row>
      <xdr:rowOff>161928</xdr:rowOff>
    </xdr:to>
    <xdr:cxnSp macro="">
      <xdr:nvCxnSpPr>
        <xdr:cNvPr id="153" name="Rechte verbindingslijn 152"/>
        <xdr:cNvCxnSpPr/>
      </xdr:nvCxnSpPr>
      <xdr:spPr>
        <a:xfrm rot="16200000" flipH="1">
          <a:off x="338138" y="8434388"/>
          <a:ext cx="1114428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438151</xdr:colOff>
      <xdr:row>78</xdr:row>
      <xdr:rowOff>0</xdr:rowOff>
    </xdr:from>
    <xdr:to>
      <xdr:col>4</xdr:col>
      <xdr:colOff>438153</xdr:colOff>
      <xdr:row>83</xdr:row>
      <xdr:rowOff>161928</xdr:rowOff>
    </xdr:to>
    <xdr:cxnSp macro="">
      <xdr:nvCxnSpPr>
        <xdr:cNvPr id="154" name="Rechte verbindingslijn 153"/>
        <xdr:cNvCxnSpPr/>
      </xdr:nvCxnSpPr>
      <xdr:spPr>
        <a:xfrm rot="16200000" flipH="1">
          <a:off x="585788" y="8434388"/>
          <a:ext cx="1114428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552450</xdr:colOff>
      <xdr:row>80</xdr:row>
      <xdr:rowOff>161925</xdr:rowOff>
    </xdr:from>
    <xdr:ext cx="285750" cy="302660"/>
    <xdr:sp macro="" textlink="">
      <xdr:nvSpPr>
        <xdr:cNvPr id="155" name="Tekstvak 154"/>
        <xdr:cNvSpPr txBox="1"/>
      </xdr:nvSpPr>
      <xdr:spPr>
        <a:xfrm>
          <a:off x="6429375" y="13458825"/>
          <a:ext cx="285750" cy="3026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/>
            <a:t> =</a:t>
          </a:r>
        </a:p>
      </xdr:txBody>
    </xdr:sp>
    <xdr:clientData/>
  </xdr:oneCellAnchor>
  <xdr:twoCellAnchor>
    <xdr:from>
      <xdr:col>10</xdr:col>
      <xdr:colOff>447676</xdr:colOff>
      <xdr:row>79</xdr:row>
      <xdr:rowOff>171453</xdr:rowOff>
    </xdr:from>
    <xdr:to>
      <xdr:col>10</xdr:col>
      <xdr:colOff>457201</xdr:colOff>
      <xdr:row>82</xdr:row>
      <xdr:rowOff>180978</xdr:rowOff>
    </xdr:to>
    <xdr:cxnSp macro="">
      <xdr:nvCxnSpPr>
        <xdr:cNvPr id="156" name="Rechte verbindingslijn 155"/>
        <xdr:cNvCxnSpPr/>
      </xdr:nvCxnSpPr>
      <xdr:spPr>
        <a:xfrm rot="5400000">
          <a:off x="6648451" y="13563603"/>
          <a:ext cx="5810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79</xdr:row>
      <xdr:rowOff>180979</xdr:rowOff>
    </xdr:from>
    <xdr:to>
      <xdr:col>10</xdr:col>
      <xdr:colOff>228600</xdr:colOff>
      <xdr:row>83</xdr:row>
      <xdr:rowOff>9529</xdr:rowOff>
    </xdr:to>
    <xdr:cxnSp macro="">
      <xdr:nvCxnSpPr>
        <xdr:cNvPr id="157" name="Rechte verbindingslijn 156"/>
        <xdr:cNvCxnSpPr/>
      </xdr:nvCxnSpPr>
      <xdr:spPr>
        <a:xfrm rot="5400000">
          <a:off x="6415088" y="13577891"/>
          <a:ext cx="5905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71</xdr:row>
      <xdr:rowOff>209551</xdr:rowOff>
    </xdr:from>
    <xdr:to>
      <xdr:col>0</xdr:col>
      <xdr:colOff>95250</xdr:colOff>
      <xdr:row>75</xdr:row>
      <xdr:rowOff>38100</xdr:rowOff>
    </xdr:to>
    <xdr:cxnSp macro="">
      <xdr:nvCxnSpPr>
        <xdr:cNvPr id="158" name="Rechte verbindingslijn 157"/>
        <xdr:cNvCxnSpPr/>
      </xdr:nvCxnSpPr>
      <xdr:spPr>
        <a:xfrm rot="5400000">
          <a:off x="-214312" y="12044363"/>
          <a:ext cx="61912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337510</xdr:colOff>
      <xdr:row>62</xdr:row>
      <xdr:rowOff>76416</xdr:rowOff>
    </xdr:from>
    <xdr:to>
      <xdr:col>1</xdr:col>
      <xdr:colOff>439058</xdr:colOff>
      <xdr:row>62</xdr:row>
      <xdr:rowOff>171622</xdr:rowOff>
    </xdr:to>
    <xdr:sp macro="" textlink="">
      <xdr:nvSpPr>
        <xdr:cNvPr id="191" name="Rechthoek 190"/>
        <xdr:cNvSpPr/>
      </xdr:nvSpPr>
      <xdr:spPr>
        <a:xfrm rot="18307572">
          <a:off x="1140781" y="9883995"/>
          <a:ext cx="95206" cy="101548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3</xdr:col>
      <xdr:colOff>209551</xdr:colOff>
      <xdr:row>90</xdr:row>
      <xdr:rowOff>28574</xdr:rowOff>
    </xdr:from>
    <xdr:to>
      <xdr:col>3</xdr:col>
      <xdr:colOff>209551</xdr:colOff>
      <xdr:row>91</xdr:row>
      <xdr:rowOff>190499</xdr:rowOff>
    </xdr:to>
    <xdr:cxnSp macro="">
      <xdr:nvCxnSpPr>
        <xdr:cNvPr id="193" name="Rechte verbindingslijn 192"/>
        <xdr:cNvCxnSpPr/>
      </xdr:nvCxnSpPr>
      <xdr:spPr>
        <a:xfrm rot="5400000">
          <a:off x="2052638" y="15406687"/>
          <a:ext cx="3524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190501</xdr:colOff>
      <xdr:row>89</xdr:row>
      <xdr:rowOff>180974</xdr:rowOff>
    </xdr:from>
    <xdr:to>
      <xdr:col>1</xdr:col>
      <xdr:colOff>190501</xdr:colOff>
      <xdr:row>93</xdr:row>
      <xdr:rowOff>171449</xdr:rowOff>
    </xdr:to>
    <xdr:cxnSp macro="">
      <xdr:nvCxnSpPr>
        <xdr:cNvPr id="194" name="Rechte verbindingslijn 193"/>
        <xdr:cNvCxnSpPr/>
      </xdr:nvCxnSpPr>
      <xdr:spPr>
        <a:xfrm rot="5400000">
          <a:off x="614363" y="15568612"/>
          <a:ext cx="7524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419101</xdr:colOff>
      <xdr:row>90</xdr:row>
      <xdr:rowOff>9525</xdr:rowOff>
    </xdr:from>
    <xdr:to>
      <xdr:col>1</xdr:col>
      <xdr:colOff>419101</xdr:colOff>
      <xdr:row>94</xdr:row>
      <xdr:rowOff>0</xdr:rowOff>
    </xdr:to>
    <xdr:cxnSp macro="">
      <xdr:nvCxnSpPr>
        <xdr:cNvPr id="196" name="Rechte verbindingslijn 195"/>
        <xdr:cNvCxnSpPr/>
      </xdr:nvCxnSpPr>
      <xdr:spPr>
        <a:xfrm rot="5400000">
          <a:off x="842963" y="15587663"/>
          <a:ext cx="7524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514351</xdr:colOff>
      <xdr:row>89</xdr:row>
      <xdr:rowOff>180975</xdr:rowOff>
    </xdr:from>
    <xdr:to>
      <xdr:col>2</xdr:col>
      <xdr:colOff>514351</xdr:colOff>
      <xdr:row>93</xdr:row>
      <xdr:rowOff>171450</xdr:rowOff>
    </xdr:to>
    <xdr:cxnSp macro="">
      <xdr:nvCxnSpPr>
        <xdr:cNvPr id="197" name="Rechte verbindingslijn 196"/>
        <xdr:cNvCxnSpPr/>
      </xdr:nvCxnSpPr>
      <xdr:spPr>
        <a:xfrm rot="5400000">
          <a:off x="1547813" y="15568613"/>
          <a:ext cx="7524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590551</xdr:colOff>
      <xdr:row>90</xdr:row>
      <xdr:rowOff>9525</xdr:rowOff>
    </xdr:from>
    <xdr:to>
      <xdr:col>1</xdr:col>
      <xdr:colOff>590551</xdr:colOff>
      <xdr:row>94</xdr:row>
      <xdr:rowOff>0</xdr:rowOff>
    </xdr:to>
    <xdr:cxnSp macro="">
      <xdr:nvCxnSpPr>
        <xdr:cNvPr id="198" name="Rechte verbindingslijn 197"/>
        <xdr:cNvCxnSpPr/>
      </xdr:nvCxnSpPr>
      <xdr:spPr>
        <a:xfrm rot="5400000">
          <a:off x="1014413" y="15587663"/>
          <a:ext cx="7524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400051</xdr:colOff>
      <xdr:row>90</xdr:row>
      <xdr:rowOff>9525</xdr:rowOff>
    </xdr:from>
    <xdr:to>
      <xdr:col>3</xdr:col>
      <xdr:colOff>400051</xdr:colOff>
      <xdr:row>91</xdr:row>
      <xdr:rowOff>171450</xdr:rowOff>
    </xdr:to>
    <xdr:cxnSp macro="">
      <xdr:nvCxnSpPr>
        <xdr:cNvPr id="200" name="Rechte verbindingslijn 199"/>
        <xdr:cNvCxnSpPr/>
      </xdr:nvCxnSpPr>
      <xdr:spPr>
        <a:xfrm rot="5400000">
          <a:off x="2243138" y="15387638"/>
          <a:ext cx="3524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352425</xdr:colOff>
      <xdr:row>41</xdr:row>
      <xdr:rowOff>0</xdr:rowOff>
    </xdr:from>
    <xdr:to>
      <xdr:col>8</xdr:col>
      <xdr:colOff>390525</xdr:colOff>
      <xdr:row>43</xdr:row>
      <xdr:rowOff>133350</xdr:rowOff>
    </xdr:to>
    <xdr:cxnSp macro="">
      <xdr:nvCxnSpPr>
        <xdr:cNvPr id="118" name="Rechte verbindingslijn met pijl 117"/>
        <xdr:cNvCxnSpPr/>
      </xdr:nvCxnSpPr>
      <xdr:spPr>
        <a:xfrm rot="16200000" flipV="1">
          <a:off x="5286375" y="7877175"/>
          <a:ext cx="514350" cy="38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257175</xdr:colOff>
      <xdr:row>41</xdr:row>
      <xdr:rowOff>0</xdr:rowOff>
    </xdr:from>
    <xdr:to>
      <xdr:col>11</xdr:col>
      <xdr:colOff>295275</xdr:colOff>
      <xdr:row>41</xdr:row>
      <xdr:rowOff>171450</xdr:rowOff>
    </xdr:to>
    <xdr:cxnSp macro="">
      <xdr:nvCxnSpPr>
        <xdr:cNvPr id="121" name="Rechte verbindingslijn met pijl 120"/>
        <xdr:cNvCxnSpPr/>
      </xdr:nvCxnSpPr>
      <xdr:spPr>
        <a:xfrm rot="5400000" flipH="1" flipV="1">
          <a:off x="7286625" y="7705725"/>
          <a:ext cx="171450" cy="38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342106</xdr:colOff>
      <xdr:row>78</xdr:row>
      <xdr:rowOff>10319</xdr:rowOff>
    </xdr:from>
    <xdr:to>
      <xdr:col>7</xdr:col>
      <xdr:colOff>343694</xdr:colOff>
      <xdr:row>78</xdr:row>
      <xdr:rowOff>143669</xdr:rowOff>
    </xdr:to>
    <xdr:cxnSp macro="">
      <xdr:nvCxnSpPr>
        <xdr:cNvPr id="159" name="Rechte verbindingslijn met pijl 158"/>
        <xdr:cNvCxnSpPr/>
      </xdr:nvCxnSpPr>
      <xdr:spPr>
        <a:xfrm rot="5400000" flipH="1" flipV="1">
          <a:off x="4733925" y="13487400"/>
          <a:ext cx="1333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323056</xdr:colOff>
      <xdr:row>78</xdr:row>
      <xdr:rowOff>10319</xdr:rowOff>
    </xdr:from>
    <xdr:to>
      <xdr:col>6</xdr:col>
      <xdr:colOff>324644</xdr:colOff>
      <xdr:row>78</xdr:row>
      <xdr:rowOff>143669</xdr:rowOff>
    </xdr:to>
    <xdr:cxnSp macro="">
      <xdr:nvCxnSpPr>
        <xdr:cNvPr id="161" name="Rechte verbindingslijn met pijl 160"/>
        <xdr:cNvCxnSpPr/>
      </xdr:nvCxnSpPr>
      <xdr:spPr>
        <a:xfrm rot="5400000" flipH="1" flipV="1">
          <a:off x="4105275" y="13487400"/>
          <a:ext cx="1333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304006</xdr:colOff>
      <xdr:row>41</xdr:row>
      <xdr:rowOff>19844</xdr:rowOff>
    </xdr:from>
    <xdr:to>
      <xdr:col>2</xdr:col>
      <xdr:colOff>305594</xdr:colOff>
      <xdr:row>41</xdr:row>
      <xdr:rowOff>153194</xdr:rowOff>
    </xdr:to>
    <xdr:cxnSp macro="">
      <xdr:nvCxnSpPr>
        <xdr:cNvPr id="163" name="Rechte verbindingslijn met pijl 162"/>
        <xdr:cNvCxnSpPr/>
      </xdr:nvCxnSpPr>
      <xdr:spPr>
        <a:xfrm rot="5400000" flipH="1" flipV="1">
          <a:off x="1647825" y="7724775"/>
          <a:ext cx="1333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466725</xdr:colOff>
      <xdr:row>108</xdr:row>
      <xdr:rowOff>28575</xdr:rowOff>
    </xdr:from>
    <xdr:ext cx="320409" cy="561885"/>
    <xdr:sp macro="" textlink="">
      <xdr:nvSpPr>
        <xdr:cNvPr id="164" name="Tekstvak 163"/>
        <xdr:cNvSpPr txBox="1"/>
      </xdr:nvSpPr>
      <xdr:spPr>
        <a:xfrm>
          <a:off x="4924425" y="20897850"/>
          <a:ext cx="320409" cy="561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000" b="1"/>
            <a:t> n</a:t>
          </a:r>
        </a:p>
        <a:p>
          <a:endParaRPr lang="nl-NL" sz="1000" b="1"/>
        </a:p>
        <a:p>
          <a:r>
            <a:rPr lang="nl-NL" sz="1000" b="1"/>
            <a:t>i-1</a:t>
          </a:r>
        </a:p>
      </xdr:txBody>
    </xdr:sp>
    <xdr:clientData/>
  </xdr:oneCellAnchor>
  <xdr:twoCellAnchor>
    <xdr:from>
      <xdr:col>5</xdr:col>
      <xdr:colOff>342900</xdr:colOff>
      <xdr:row>44</xdr:row>
      <xdr:rowOff>66675</xdr:rowOff>
    </xdr:from>
    <xdr:to>
      <xdr:col>6</xdr:col>
      <xdr:colOff>19050</xdr:colOff>
      <xdr:row>44</xdr:row>
      <xdr:rowOff>85725</xdr:rowOff>
    </xdr:to>
    <xdr:cxnSp macro="">
      <xdr:nvCxnSpPr>
        <xdr:cNvPr id="166" name="Rechte verbindingslijn met pijl 165"/>
        <xdr:cNvCxnSpPr/>
      </xdr:nvCxnSpPr>
      <xdr:spPr>
        <a:xfrm flipV="1">
          <a:off x="3581400" y="8277225"/>
          <a:ext cx="285750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361950</xdr:colOff>
      <xdr:row>138</xdr:row>
      <xdr:rowOff>38100</xdr:rowOff>
    </xdr:from>
    <xdr:to>
      <xdr:col>7</xdr:col>
      <xdr:colOff>95250</xdr:colOff>
      <xdr:row>140</xdr:row>
      <xdr:rowOff>123825</xdr:rowOff>
    </xdr:to>
    <xdr:pic>
      <xdr:nvPicPr>
        <xdr:cNvPr id="129" name="Picture 1" descr="e^x = \sum_{n = 0}^{\infty} {x^n \over n!} = 1 + x + {x^2 \over 2!} + {x^3 \over 3!} + {x^4 \over 4!} + \cdot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1550" y="16773525"/>
          <a:ext cx="3390900" cy="466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361950</xdr:colOff>
      <xdr:row>136</xdr:row>
      <xdr:rowOff>171450</xdr:rowOff>
    </xdr:from>
    <xdr:to>
      <xdr:col>3</xdr:col>
      <xdr:colOff>19050</xdr:colOff>
      <xdr:row>137</xdr:row>
      <xdr:rowOff>171450</xdr:rowOff>
    </xdr:to>
    <xdr:pic>
      <xdr:nvPicPr>
        <xdr:cNvPr id="138" name="Picture 2" descr="\!\, a^x=e^{x \ln a}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71550" y="16525875"/>
          <a:ext cx="87630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85724</xdr:colOff>
      <xdr:row>13</xdr:row>
      <xdr:rowOff>9525</xdr:rowOff>
    </xdr:from>
    <xdr:to>
      <xdr:col>2</xdr:col>
      <xdr:colOff>219075</xdr:colOff>
      <xdr:row>15</xdr:row>
      <xdr:rowOff>9525</xdr:rowOff>
    </xdr:to>
    <xdr:sp macro="" textlink="">
      <xdr:nvSpPr>
        <xdr:cNvPr id="160" name="Rechthoek 159"/>
        <xdr:cNvSpPr/>
      </xdr:nvSpPr>
      <xdr:spPr>
        <a:xfrm>
          <a:off x="1495424" y="2514600"/>
          <a:ext cx="133351" cy="457200"/>
        </a:xfrm>
        <a:prstGeom prst="rect">
          <a:avLst/>
        </a:prstGeom>
        <a:noFill/>
        <a:ln w="12700">
          <a:solidFill>
            <a:srgbClr val="7030A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0</xdr:col>
      <xdr:colOff>742949</xdr:colOff>
      <xdr:row>13</xdr:row>
      <xdr:rowOff>38100</xdr:rowOff>
    </xdr:from>
    <xdr:to>
      <xdr:col>1</xdr:col>
      <xdr:colOff>419100</xdr:colOff>
      <xdr:row>14</xdr:row>
      <xdr:rowOff>0</xdr:rowOff>
    </xdr:to>
    <xdr:sp macro="" textlink="">
      <xdr:nvSpPr>
        <xdr:cNvPr id="165" name="Rechthoek 164"/>
        <xdr:cNvSpPr/>
      </xdr:nvSpPr>
      <xdr:spPr>
        <a:xfrm>
          <a:off x="742949" y="2543175"/>
          <a:ext cx="476251" cy="190500"/>
        </a:xfrm>
        <a:prstGeom prst="rect">
          <a:avLst/>
        </a:prstGeom>
        <a:noFill/>
        <a:ln w="127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0</xdr:col>
      <xdr:colOff>742949</xdr:colOff>
      <xdr:row>14</xdr:row>
      <xdr:rowOff>19050</xdr:rowOff>
    </xdr:from>
    <xdr:to>
      <xdr:col>1</xdr:col>
      <xdr:colOff>419100</xdr:colOff>
      <xdr:row>14</xdr:row>
      <xdr:rowOff>209550</xdr:rowOff>
    </xdr:to>
    <xdr:sp macro="" textlink="">
      <xdr:nvSpPr>
        <xdr:cNvPr id="167" name="Rechthoek 166"/>
        <xdr:cNvSpPr/>
      </xdr:nvSpPr>
      <xdr:spPr>
        <a:xfrm>
          <a:off x="742949" y="2752725"/>
          <a:ext cx="476251" cy="190500"/>
        </a:xfrm>
        <a:prstGeom prst="rect">
          <a:avLst/>
        </a:prstGeom>
        <a:noFill/>
        <a:ln w="12700">
          <a:solidFill>
            <a:srgbClr val="00B05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1</xdr:col>
      <xdr:colOff>114299</xdr:colOff>
      <xdr:row>17</xdr:row>
      <xdr:rowOff>57150</xdr:rowOff>
    </xdr:from>
    <xdr:to>
      <xdr:col>1</xdr:col>
      <xdr:colOff>495300</xdr:colOff>
      <xdr:row>17</xdr:row>
      <xdr:rowOff>171450</xdr:rowOff>
    </xdr:to>
    <xdr:sp macro="" textlink="">
      <xdr:nvSpPr>
        <xdr:cNvPr id="168" name="Rechthoek 167"/>
        <xdr:cNvSpPr/>
      </xdr:nvSpPr>
      <xdr:spPr>
        <a:xfrm>
          <a:off x="914399" y="3400425"/>
          <a:ext cx="381001" cy="114300"/>
        </a:xfrm>
        <a:prstGeom prst="rect">
          <a:avLst/>
        </a:prstGeom>
        <a:noFill/>
        <a:ln w="127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2</xdr:col>
      <xdr:colOff>9525</xdr:colOff>
      <xdr:row>16</xdr:row>
      <xdr:rowOff>161925</xdr:rowOff>
    </xdr:from>
    <xdr:to>
      <xdr:col>2</xdr:col>
      <xdr:colOff>114301</xdr:colOff>
      <xdr:row>18</xdr:row>
      <xdr:rowOff>19050</xdr:rowOff>
    </xdr:to>
    <xdr:sp macro="" textlink="">
      <xdr:nvSpPr>
        <xdr:cNvPr id="169" name="Rechthoek 168"/>
        <xdr:cNvSpPr/>
      </xdr:nvSpPr>
      <xdr:spPr>
        <a:xfrm>
          <a:off x="1419225" y="3314700"/>
          <a:ext cx="104776" cy="276225"/>
        </a:xfrm>
        <a:prstGeom prst="rect">
          <a:avLst/>
        </a:prstGeom>
        <a:noFill/>
        <a:ln w="12700">
          <a:solidFill>
            <a:srgbClr val="7030A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4</xdr:col>
      <xdr:colOff>190499</xdr:colOff>
      <xdr:row>17</xdr:row>
      <xdr:rowOff>57150</xdr:rowOff>
    </xdr:from>
    <xdr:to>
      <xdr:col>4</xdr:col>
      <xdr:colOff>571500</xdr:colOff>
      <xdr:row>17</xdr:row>
      <xdr:rowOff>171450</xdr:rowOff>
    </xdr:to>
    <xdr:sp macro="" textlink="">
      <xdr:nvSpPr>
        <xdr:cNvPr id="170" name="Rechthoek 169"/>
        <xdr:cNvSpPr/>
      </xdr:nvSpPr>
      <xdr:spPr>
        <a:xfrm>
          <a:off x="2819399" y="3400425"/>
          <a:ext cx="381001" cy="114300"/>
        </a:xfrm>
        <a:prstGeom prst="rect">
          <a:avLst/>
        </a:prstGeom>
        <a:noFill/>
        <a:ln w="12700">
          <a:solidFill>
            <a:srgbClr val="00B05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5</xdr:col>
      <xdr:colOff>85725</xdr:colOff>
      <xdr:row>16</xdr:row>
      <xdr:rowOff>180975</xdr:rowOff>
    </xdr:from>
    <xdr:to>
      <xdr:col>5</xdr:col>
      <xdr:colOff>190501</xdr:colOff>
      <xdr:row>18</xdr:row>
      <xdr:rowOff>38100</xdr:rowOff>
    </xdr:to>
    <xdr:sp macro="" textlink="">
      <xdr:nvSpPr>
        <xdr:cNvPr id="171" name="Rechthoek 170"/>
        <xdr:cNvSpPr/>
      </xdr:nvSpPr>
      <xdr:spPr>
        <a:xfrm>
          <a:off x="3324225" y="3333750"/>
          <a:ext cx="104776" cy="276225"/>
        </a:xfrm>
        <a:prstGeom prst="rect">
          <a:avLst/>
        </a:prstGeom>
        <a:noFill/>
        <a:ln w="12700">
          <a:solidFill>
            <a:srgbClr val="7030A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2</xdr:col>
      <xdr:colOff>171450</xdr:colOff>
      <xdr:row>17</xdr:row>
      <xdr:rowOff>133350</xdr:rowOff>
    </xdr:from>
    <xdr:to>
      <xdr:col>2</xdr:col>
      <xdr:colOff>361950</xdr:colOff>
      <xdr:row>17</xdr:row>
      <xdr:rowOff>134938</xdr:rowOff>
    </xdr:to>
    <xdr:cxnSp macro="">
      <xdr:nvCxnSpPr>
        <xdr:cNvPr id="173" name="Rechte verbindingslijn met pijl 172"/>
        <xdr:cNvCxnSpPr/>
      </xdr:nvCxnSpPr>
      <xdr:spPr>
        <a:xfrm>
          <a:off x="1581150" y="3476625"/>
          <a:ext cx="1905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247650</xdr:colOff>
      <xdr:row>17</xdr:row>
      <xdr:rowOff>133350</xdr:rowOff>
    </xdr:from>
    <xdr:to>
      <xdr:col>5</xdr:col>
      <xdr:colOff>438150</xdr:colOff>
      <xdr:row>17</xdr:row>
      <xdr:rowOff>134938</xdr:rowOff>
    </xdr:to>
    <xdr:cxnSp macro="">
      <xdr:nvCxnSpPr>
        <xdr:cNvPr id="174" name="Rechte verbindingslijn met pijl 173"/>
        <xdr:cNvCxnSpPr/>
      </xdr:nvCxnSpPr>
      <xdr:spPr>
        <a:xfrm>
          <a:off x="3486150" y="3476625"/>
          <a:ext cx="1905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314325</xdr:colOff>
      <xdr:row>62</xdr:row>
      <xdr:rowOff>0</xdr:rowOff>
    </xdr:from>
    <xdr:ext cx="1901418" cy="248851"/>
    <xdr:sp macro="" textlink="">
      <xdr:nvSpPr>
        <xdr:cNvPr id="162" name="Tekstvak 161"/>
        <xdr:cNvSpPr txBox="1"/>
      </xdr:nvSpPr>
      <xdr:spPr>
        <a:xfrm>
          <a:off x="2333625" y="12087225"/>
          <a:ext cx="1901418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000" b="1"/>
            <a:t>EXCEL POLYNOOM VOLGORDE 2</a:t>
          </a:r>
        </a:p>
      </xdr:txBody>
    </xdr:sp>
    <xdr:clientData/>
  </xdr:oneCellAnchor>
  <xdr:twoCellAnchor>
    <xdr:from>
      <xdr:col>2</xdr:col>
      <xdr:colOff>180975</xdr:colOff>
      <xdr:row>27</xdr:row>
      <xdr:rowOff>171450</xdr:rowOff>
    </xdr:from>
    <xdr:to>
      <xdr:col>7</xdr:col>
      <xdr:colOff>352425</xdr:colOff>
      <xdr:row>37</xdr:row>
      <xdr:rowOff>19050</xdr:rowOff>
    </xdr:to>
    <xdr:graphicFrame macro="">
      <xdr:nvGraphicFramePr>
        <xdr:cNvPr id="63" name="Grafiek 6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jnwoordenboek.nl/synoniem.php?woord=precies" TargetMode="External"/><Relationship Id="rId13" Type="http://schemas.openxmlformats.org/officeDocument/2006/relationships/hyperlink" Target="http://nl.wikipedia.org/wiki/Validiteit" TargetMode="External"/><Relationship Id="rId18" Type="http://schemas.openxmlformats.org/officeDocument/2006/relationships/hyperlink" Target="http://nl.wikipedia.org/wiki/IJken" TargetMode="External"/><Relationship Id="rId3" Type="http://schemas.openxmlformats.org/officeDocument/2006/relationships/hyperlink" Target="http://www.chem.uu.nl/practicum/2007-2008/chem/foutenleer/download/files.html" TargetMode="External"/><Relationship Id="rId21" Type="http://schemas.openxmlformats.org/officeDocument/2006/relationships/hyperlink" Target="http://home.fsw.vu.nl/HBG.Ganzeboom/Operationaliseren/College1.pdf" TargetMode="External"/><Relationship Id="rId7" Type="http://schemas.openxmlformats.org/officeDocument/2006/relationships/hyperlink" Target="http://www.mijnwoordenboek.nl/synoniem.php?woord=fout" TargetMode="External"/><Relationship Id="rId12" Type="http://schemas.openxmlformats.org/officeDocument/2006/relationships/hyperlink" Target="http://nl.wikipedia.org/wiki/Betrouwbaarheid" TargetMode="External"/><Relationship Id="rId17" Type="http://schemas.openxmlformats.org/officeDocument/2006/relationships/hyperlink" Target="http://nl.wikipedia.org/wiki/Kalibreren" TargetMode="External"/><Relationship Id="rId2" Type="http://schemas.openxmlformats.org/officeDocument/2006/relationships/hyperlink" Target="http://willyvermaelen.classy.be/meettechniek/schuifmaat.html" TargetMode="External"/><Relationship Id="rId16" Type="http://schemas.openxmlformats.org/officeDocument/2006/relationships/hyperlink" Target="http://nl.wikipedia.org/wiki/Meten" TargetMode="External"/><Relationship Id="rId20" Type="http://schemas.openxmlformats.org/officeDocument/2006/relationships/hyperlink" Target="http://en.wikipedia.org/wiki/Uncertainty" TargetMode="External"/><Relationship Id="rId1" Type="http://schemas.openxmlformats.org/officeDocument/2006/relationships/hyperlink" Target="http://leon.khbo.be/~vdabeele/fysica/index.php?n=Main.Terminologie" TargetMode="External"/><Relationship Id="rId6" Type="http://schemas.openxmlformats.org/officeDocument/2006/relationships/hyperlink" Target="http://www.mijnwoordenboek.nl/synoniemen/nauwkeurigheid" TargetMode="External"/><Relationship Id="rId11" Type="http://schemas.openxmlformats.org/officeDocument/2006/relationships/hyperlink" Target="http://www.test.uva.nl/wiki/index.php?title=Meetfout" TargetMode="External"/><Relationship Id="rId5" Type="http://schemas.openxmlformats.org/officeDocument/2006/relationships/hyperlink" Target="http://nl.wikipedia.org/wiki/Nauwkeurigheid_en_precisie" TargetMode="External"/><Relationship Id="rId15" Type="http://schemas.openxmlformats.org/officeDocument/2006/relationships/hyperlink" Target="http://www.mijnwoordenboek.nl/synoniem.php?woord=afwijking" TargetMode="External"/><Relationship Id="rId23" Type="http://schemas.openxmlformats.org/officeDocument/2006/relationships/drawing" Target="../drawings/drawing17.xml"/><Relationship Id="rId10" Type="http://schemas.openxmlformats.org/officeDocument/2006/relationships/hyperlink" Target="http://www.mijnwoordenboek.nl/synoniem.php?woord=valide" TargetMode="External"/><Relationship Id="rId19" Type="http://schemas.openxmlformats.org/officeDocument/2006/relationships/hyperlink" Target="http://en.wikipedia.org/wiki/Measurement" TargetMode="External"/><Relationship Id="rId4" Type="http://schemas.openxmlformats.org/officeDocument/2006/relationships/hyperlink" Target="http://en.wikipedia.org/wiki/Accuracy_and_precision" TargetMode="External"/><Relationship Id="rId9" Type="http://schemas.openxmlformats.org/officeDocument/2006/relationships/hyperlink" Target="http://www.mijnwoordenboek.nl/synoniem.php?woord=betrouwbaar" TargetMode="External"/><Relationship Id="rId14" Type="http://schemas.openxmlformats.org/officeDocument/2006/relationships/hyperlink" Target="http://nl.wikipedia.org/wiki/Tolerantie_(specificaties)" TargetMode="External"/><Relationship Id="rId22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wiskundebijles.nl/statistiek/normaleverdeling1/gem_stdafw_tweekansengegeven%20met%20excel.htm" TargetMode="External"/><Relationship Id="rId1" Type="http://schemas.openxmlformats.org/officeDocument/2006/relationships/hyperlink" Target="http://www.wiskundebijles.nl/statistiek/normaleverdeling1/nomverdberekening_met_excel1.htm" TargetMode="External"/><Relationship Id="rId4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youtube.com/watch?v=IrVO4fDXwuc" TargetMode="External"/><Relationship Id="rId1" Type="http://schemas.openxmlformats.org/officeDocument/2006/relationships/hyperlink" Target="http://www.youtube.com/watch?v=AWAFFZ7rPDc" TargetMode="External"/><Relationship Id="rId4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5"/>
  <sheetViews>
    <sheetView tabSelected="1" workbookViewId="0">
      <selection activeCell="L6" sqref="L6"/>
    </sheetView>
  </sheetViews>
  <sheetFormatPr defaultRowHeight="14.4"/>
  <sheetData>
    <row r="1" spans="1:23">
      <c r="A1" s="4" t="s">
        <v>714</v>
      </c>
    </row>
    <row r="3" spans="1:23">
      <c r="A3" s="2" t="s">
        <v>643</v>
      </c>
    </row>
    <row r="4" spans="1:23">
      <c r="A4" s="2" t="s">
        <v>468</v>
      </c>
    </row>
    <row r="5" spans="1:23">
      <c r="A5" s="2" t="s">
        <v>892</v>
      </c>
    </row>
    <row r="6" spans="1:23">
      <c r="A6" s="2" t="s">
        <v>650</v>
      </c>
    </row>
    <row r="7" spans="1:23">
      <c r="A7" s="2" t="s">
        <v>651</v>
      </c>
    </row>
    <row r="9" spans="1:23">
      <c r="A9" s="4" t="s">
        <v>644</v>
      </c>
      <c r="E9" s="2" t="s">
        <v>645</v>
      </c>
    </row>
    <row r="10" spans="1:23" ht="7.5" customHeight="1">
      <c r="A10" s="4"/>
    </row>
    <row r="11" spans="1:23" ht="15.6">
      <c r="A11" s="19" t="s">
        <v>134</v>
      </c>
      <c r="B11" s="19"/>
      <c r="C11" s="19"/>
      <c r="D11" s="19"/>
      <c r="E11" s="19"/>
      <c r="F11" s="19"/>
      <c r="G11" s="19"/>
      <c r="H11" s="19"/>
      <c r="I11" s="19"/>
      <c r="J11" s="21"/>
      <c r="K11" s="21"/>
      <c r="V11" s="24"/>
      <c r="W11" s="24"/>
    </row>
    <row r="12" spans="1:23" ht="15.6">
      <c r="A12" s="19" t="s">
        <v>142</v>
      </c>
      <c r="B12" s="19"/>
      <c r="C12" s="19"/>
      <c r="D12" s="19"/>
      <c r="E12" s="2" t="s">
        <v>144</v>
      </c>
      <c r="F12" s="19"/>
      <c r="G12" s="19"/>
      <c r="H12" s="19"/>
      <c r="I12" s="19"/>
      <c r="J12" s="21"/>
      <c r="K12" s="21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</row>
    <row r="13" spans="1:23" ht="15.6">
      <c r="A13" s="19" t="s">
        <v>143</v>
      </c>
      <c r="B13" s="19"/>
      <c r="C13" s="19"/>
      <c r="D13" s="19"/>
      <c r="E13" s="2" t="s">
        <v>145</v>
      </c>
      <c r="F13" s="19"/>
      <c r="G13" s="19"/>
      <c r="H13" s="19"/>
      <c r="I13" s="19"/>
      <c r="J13" s="21"/>
      <c r="K13" s="21"/>
      <c r="O13" s="24"/>
      <c r="P13" s="24"/>
      <c r="Q13" s="24"/>
      <c r="R13" s="24"/>
      <c r="S13" s="24"/>
      <c r="T13" s="24"/>
      <c r="U13" s="24"/>
      <c r="V13" s="24"/>
      <c r="W13" s="24"/>
    </row>
    <row r="14" spans="1:23" ht="15.6">
      <c r="A14" s="19" t="s">
        <v>141</v>
      </c>
      <c r="B14" s="19"/>
      <c r="C14" s="19"/>
      <c r="E14" s="19" t="s">
        <v>893</v>
      </c>
      <c r="F14" s="19"/>
      <c r="G14" s="19"/>
      <c r="H14" s="19"/>
      <c r="I14" s="19"/>
      <c r="J14" s="21"/>
      <c r="K14" s="21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</row>
    <row r="15" spans="1:23" ht="5.25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</row>
    <row r="16" spans="1:23" ht="15.6">
      <c r="A16" s="19" t="s">
        <v>857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</row>
    <row r="17" spans="1:23" ht="15.6">
      <c r="A17" s="41" t="s">
        <v>118</v>
      </c>
      <c r="B17" s="42" t="s">
        <v>119</v>
      </c>
      <c r="C17" s="25"/>
      <c r="D17" s="30" t="s">
        <v>653</v>
      </c>
      <c r="E17" s="30"/>
      <c r="F17" s="30"/>
      <c r="G17" s="30"/>
      <c r="H17" s="30"/>
      <c r="I17" s="30"/>
      <c r="J17" s="30"/>
      <c r="K17" s="31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</row>
    <row r="18" spans="1:23" ht="15.6">
      <c r="A18" s="37" t="s">
        <v>148</v>
      </c>
      <c r="B18" s="38" t="s">
        <v>149</v>
      </c>
      <c r="C18" s="26"/>
      <c r="D18" s="32" t="s">
        <v>120</v>
      </c>
      <c r="E18" s="32"/>
      <c r="F18" s="32"/>
      <c r="G18" s="32"/>
      <c r="H18" s="32"/>
      <c r="I18" s="32"/>
      <c r="J18" s="32"/>
      <c r="K18" s="33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</row>
    <row r="19" spans="1:23" ht="15.6">
      <c r="A19" s="39"/>
      <c r="B19" s="40"/>
      <c r="C19" s="27"/>
      <c r="D19" s="34" t="s">
        <v>654</v>
      </c>
      <c r="E19" s="34"/>
      <c r="F19" s="34"/>
      <c r="G19" s="34"/>
      <c r="H19" s="34"/>
      <c r="I19" s="34"/>
      <c r="J19" s="34"/>
      <c r="K19" s="35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</row>
    <row r="20" spans="1:23" ht="15.6">
      <c r="A20" s="41" t="s">
        <v>121</v>
      </c>
      <c r="B20" s="43" t="s">
        <v>147</v>
      </c>
      <c r="C20" s="25"/>
      <c r="D20" s="30" t="s">
        <v>655</v>
      </c>
      <c r="E20" s="30"/>
      <c r="F20" s="30"/>
      <c r="G20" s="30"/>
      <c r="H20" s="30"/>
      <c r="I20" s="30"/>
      <c r="J20" s="30"/>
      <c r="K20" s="31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</row>
    <row r="21" spans="1:23" ht="15.6">
      <c r="A21" s="39" t="s">
        <v>150</v>
      </c>
      <c r="B21" s="40" t="s">
        <v>151</v>
      </c>
      <c r="C21" s="27"/>
      <c r="D21" s="34" t="s">
        <v>122</v>
      </c>
      <c r="E21" s="34"/>
      <c r="F21" s="34"/>
      <c r="G21" s="34"/>
      <c r="H21" s="34"/>
      <c r="I21" s="34"/>
      <c r="J21" s="34"/>
      <c r="K21" s="35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</row>
    <row r="22" spans="1:23" ht="6.75" customHeight="1">
      <c r="A22" s="19"/>
      <c r="B22" s="29"/>
      <c r="C22" s="29"/>
      <c r="D22" s="29"/>
      <c r="E22" s="29"/>
      <c r="F22" s="29"/>
      <c r="G22" s="29"/>
      <c r="H22" s="29"/>
      <c r="I22" s="29"/>
      <c r="J22" s="29"/>
      <c r="K22" s="29"/>
      <c r="V22" s="24"/>
      <c r="W22" s="24"/>
    </row>
    <row r="23" spans="1:23" ht="15.6">
      <c r="A23" s="19" t="s">
        <v>123</v>
      </c>
      <c r="B23" s="19"/>
      <c r="C23" s="19"/>
      <c r="D23" s="19"/>
      <c r="E23" s="19"/>
      <c r="F23" s="19"/>
      <c r="G23" s="19"/>
      <c r="H23" s="19"/>
      <c r="I23" s="29"/>
      <c r="J23" s="29"/>
      <c r="K23" s="29"/>
      <c r="V23" s="24"/>
      <c r="W23" s="24"/>
    </row>
    <row r="24" spans="1:23" ht="15.6">
      <c r="A24" s="19" t="s">
        <v>124</v>
      </c>
      <c r="B24" s="19"/>
      <c r="C24" s="19" t="s">
        <v>135</v>
      </c>
      <c r="D24" s="19"/>
      <c r="E24" s="19"/>
      <c r="F24" s="19"/>
      <c r="G24" s="19"/>
      <c r="H24" s="19"/>
      <c r="I24" s="36" t="s">
        <v>154</v>
      </c>
      <c r="J24" s="19"/>
      <c r="K24" s="19" t="s">
        <v>136</v>
      </c>
      <c r="V24" s="24"/>
      <c r="W24" s="24"/>
    </row>
    <row r="25" spans="1:23" ht="15.6">
      <c r="A25" s="19"/>
      <c r="B25" s="19"/>
      <c r="F25" s="19"/>
      <c r="G25" s="19"/>
      <c r="H25" s="19"/>
      <c r="I25" s="29"/>
      <c r="J25" s="29"/>
      <c r="K25" s="29"/>
      <c r="V25" s="24"/>
      <c r="W25" s="24"/>
    </row>
    <row r="26" spans="1:23" ht="15" customHeight="1">
      <c r="A26" s="19" t="s">
        <v>821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23" ht="15" customHeight="1">
      <c r="A27" s="19" t="s">
        <v>820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8" spans="1:23" ht="15" customHeight="1">
      <c r="A28" s="19" t="s">
        <v>822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</row>
    <row r="29" spans="1:23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</row>
    <row r="30" spans="1:23">
      <c r="A30" s="28" t="s">
        <v>646</v>
      </c>
      <c r="B30" s="21"/>
      <c r="C30" s="19"/>
      <c r="D30" s="19"/>
      <c r="E30" s="19"/>
      <c r="F30" s="19"/>
      <c r="G30" s="19"/>
      <c r="H30" s="19"/>
      <c r="I30" s="19"/>
      <c r="J30" s="21"/>
      <c r="K30" s="21"/>
    </row>
    <row r="31" spans="1:23" ht="7.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</row>
    <row r="32" spans="1:23">
      <c r="A32" s="19" t="s">
        <v>617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</row>
    <row r="33" spans="1:11" ht="7.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</row>
    <row r="34" spans="1:11">
      <c r="A34" s="19" t="s">
        <v>125</v>
      </c>
      <c r="B34" s="19" t="s">
        <v>137</v>
      </c>
      <c r="C34" s="19"/>
      <c r="D34" s="19"/>
      <c r="E34" s="19" t="s">
        <v>129</v>
      </c>
      <c r="F34" s="19"/>
      <c r="G34" s="19"/>
      <c r="H34" s="19"/>
      <c r="I34" s="19"/>
      <c r="J34" s="19"/>
      <c r="K34" s="19"/>
    </row>
    <row r="35" spans="1:11">
      <c r="A35" s="19" t="s">
        <v>126</v>
      </c>
      <c r="B35" s="19" t="s">
        <v>138</v>
      </c>
      <c r="C35" s="19"/>
      <c r="D35" s="19"/>
      <c r="E35" s="19" t="s">
        <v>130</v>
      </c>
      <c r="F35" s="19"/>
      <c r="G35" s="19"/>
      <c r="H35" s="19"/>
      <c r="I35" s="19"/>
      <c r="J35" s="19"/>
      <c r="K35" s="19"/>
    </row>
    <row r="36" spans="1:11">
      <c r="A36" s="19" t="s">
        <v>127</v>
      </c>
      <c r="B36" s="19" t="s">
        <v>139</v>
      </c>
      <c r="C36" s="19"/>
      <c r="D36" s="19"/>
      <c r="E36" s="19" t="s">
        <v>131</v>
      </c>
      <c r="F36" s="19"/>
      <c r="G36" s="19"/>
      <c r="H36" s="19"/>
      <c r="I36" s="19"/>
      <c r="J36" s="19"/>
      <c r="K36" s="19"/>
    </row>
    <row r="37" spans="1:11">
      <c r="A37" s="19" t="s">
        <v>128</v>
      </c>
      <c r="B37" s="19" t="s">
        <v>140</v>
      </c>
      <c r="C37" s="19"/>
      <c r="D37" s="19"/>
      <c r="E37" s="19" t="s">
        <v>132</v>
      </c>
      <c r="F37" s="19"/>
      <c r="G37" s="19"/>
      <c r="H37" s="19"/>
      <c r="I37" s="19"/>
      <c r="J37" s="19"/>
      <c r="K37" s="19"/>
    </row>
    <row r="38" spans="1:1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</row>
    <row r="39" spans="1:11">
      <c r="A39" s="19" t="s">
        <v>133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</row>
    <row r="40" spans="1:11">
      <c r="A40" s="4"/>
    </row>
    <row r="41" spans="1:11" ht="15.6">
      <c r="A41" s="4"/>
      <c r="C41" t="s">
        <v>109</v>
      </c>
    </row>
    <row r="42" spans="1:11" ht="15.6">
      <c r="E42" t="s">
        <v>110</v>
      </c>
    </row>
    <row r="46" spans="1:11" ht="15.6">
      <c r="A46" s="23"/>
      <c r="H46" s="2" t="s">
        <v>111</v>
      </c>
    </row>
    <row r="47" spans="1:11">
      <c r="E47" s="2"/>
    </row>
    <row r="48" spans="1:11" ht="15.6">
      <c r="F48" s="2" t="s">
        <v>112</v>
      </c>
      <c r="J48" s="14" t="s">
        <v>113</v>
      </c>
    </row>
    <row r="52" spans="1:9" ht="15.6">
      <c r="A52" s="2" t="s">
        <v>114</v>
      </c>
      <c r="B52" s="2"/>
      <c r="C52" s="2" t="s">
        <v>116</v>
      </c>
      <c r="D52" s="2"/>
      <c r="E52" s="2"/>
      <c r="F52" s="2" t="s">
        <v>115</v>
      </c>
      <c r="G52" s="2"/>
      <c r="H52" s="2" t="s">
        <v>117</v>
      </c>
      <c r="I52" s="2"/>
    </row>
    <row r="54" spans="1:9">
      <c r="A54" s="2" t="s">
        <v>656</v>
      </c>
    </row>
    <row r="55" spans="1:9">
      <c r="A55" s="2" t="s">
        <v>146</v>
      </c>
    </row>
    <row r="56" spans="1:9">
      <c r="A56" s="2"/>
    </row>
    <row r="57" spans="1:9">
      <c r="A57" s="4" t="s">
        <v>105</v>
      </c>
      <c r="E57" s="22" t="s">
        <v>152</v>
      </c>
      <c r="H57" s="2" t="s">
        <v>618</v>
      </c>
    </row>
    <row r="58" spans="1:9">
      <c r="E58" s="22" t="s">
        <v>153</v>
      </c>
    </row>
    <row r="70" spans="1:10">
      <c r="B70" s="8"/>
    </row>
    <row r="71" spans="1:10">
      <c r="D71" s="44"/>
    </row>
    <row r="72" spans="1:10">
      <c r="J72" s="5" t="s">
        <v>224</v>
      </c>
    </row>
    <row r="75" spans="1:10" ht="15.6">
      <c r="A75" s="23"/>
      <c r="H75" s="2" t="s">
        <v>108</v>
      </c>
    </row>
    <row r="77" spans="1:10">
      <c r="E77" s="2" t="s">
        <v>657</v>
      </c>
    </row>
    <row r="81" spans="1:2" ht="15.6">
      <c r="B81" s="2" t="s">
        <v>104</v>
      </c>
    </row>
    <row r="83" spans="1:2" ht="15.6">
      <c r="A83" s="2" t="s">
        <v>223</v>
      </c>
    </row>
    <row r="84" spans="1:2" ht="15.6">
      <c r="A84" s="2" t="s">
        <v>619</v>
      </c>
    </row>
    <row r="85" spans="1:2">
      <c r="A85" s="2" t="s">
        <v>620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J130"/>
  <sheetViews>
    <sheetView workbookViewId="0">
      <selection activeCell="R125" sqref="R125"/>
    </sheetView>
  </sheetViews>
  <sheetFormatPr defaultRowHeight="14.4"/>
  <sheetData>
    <row r="1" spans="1:36">
      <c r="A1" s="170" t="s">
        <v>954</v>
      </c>
      <c r="B1" s="4"/>
      <c r="C1" s="4"/>
      <c r="D1" s="4"/>
    </row>
    <row r="2" spans="1:36">
      <c r="B2" s="2"/>
      <c r="C2" s="2"/>
      <c r="E2" s="2"/>
      <c r="F2" s="2"/>
      <c r="G2" s="2"/>
      <c r="AG2" t="s">
        <v>1</v>
      </c>
      <c r="AI2">
        <v>2</v>
      </c>
      <c r="AJ2">
        <v>-4</v>
      </c>
    </row>
    <row r="3" spans="1:36">
      <c r="A3" s="2" t="s">
        <v>825</v>
      </c>
      <c r="S3" s="1" t="s">
        <v>1</v>
      </c>
      <c r="T3" s="1" t="s">
        <v>2</v>
      </c>
      <c r="AG3" t="s">
        <v>2</v>
      </c>
      <c r="AI3">
        <v>17</v>
      </c>
      <c r="AJ3">
        <v>30</v>
      </c>
    </row>
    <row r="4" spans="1:36">
      <c r="A4" s="2"/>
      <c r="B4" s="2"/>
      <c r="C4" s="2"/>
      <c r="S4" s="1"/>
      <c r="T4" s="1"/>
      <c r="U4" s="1">
        <v>-10</v>
      </c>
      <c r="V4" s="1">
        <v>-8</v>
      </c>
      <c r="W4" s="1">
        <v>-5</v>
      </c>
      <c r="X4" s="1">
        <v>-2</v>
      </c>
      <c r="Y4" s="1">
        <v>1</v>
      </c>
      <c r="Z4" s="1">
        <v>5</v>
      </c>
      <c r="AA4" s="1">
        <v>7</v>
      </c>
      <c r="AB4" s="1">
        <v>10</v>
      </c>
      <c r="AC4" s="1"/>
      <c r="AD4" s="1">
        <f>$AF$4</f>
        <v>-0.25</v>
      </c>
      <c r="AE4" s="1">
        <f>$AF$4</f>
        <v>-0.25</v>
      </c>
      <c r="AF4">
        <f>SUM(U4:AB4)/8</f>
        <v>-0.25</v>
      </c>
      <c r="AG4" t="s">
        <v>3</v>
      </c>
      <c r="AI4">
        <v>32</v>
      </c>
      <c r="AJ4">
        <v>5</v>
      </c>
    </row>
    <row r="5" spans="1:36">
      <c r="A5" s="2"/>
      <c r="B5" s="2"/>
      <c r="C5" s="2"/>
      <c r="S5" s="1">
        <v>1</v>
      </c>
      <c r="T5" s="1">
        <v>1.5</v>
      </c>
      <c r="U5" s="1">
        <f t="shared" ref="U5:AB5" si="0">$AF$9</f>
        <v>-4.375</v>
      </c>
      <c r="V5" s="1">
        <f t="shared" si="0"/>
        <v>-4.375</v>
      </c>
      <c r="W5" s="1">
        <f t="shared" si="0"/>
        <v>-4.375</v>
      </c>
      <c r="X5" s="1">
        <f t="shared" si="0"/>
        <v>-4.375</v>
      </c>
      <c r="Y5" s="1">
        <f t="shared" si="0"/>
        <v>-4.375</v>
      </c>
      <c r="Z5" s="1">
        <f t="shared" si="0"/>
        <v>-4.375</v>
      </c>
      <c r="AA5" s="1">
        <f t="shared" si="0"/>
        <v>-4.375</v>
      </c>
      <c r="AB5" s="1">
        <f t="shared" si="0"/>
        <v>-4.375</v>
      </c>
      <c r="AC5" s="1"/>
      <c r="AD5" s="1">
        <v>-10</v>
      </c>
      <c r="AE5" s="1">
        <v>10</v>
      </c>
      <c r="AI5" t="s">
        <v>4</v>
      </c>
    </row>
    <row r="6" spans="1:36">
      <c r="A6" s="2"/>
      <c r="B6" s="2"/>
      <c r="C6" s="2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H6">
        <v>-20</v>
      </c>
      <c r="AI6" s="1">
        <f t="shared" ref="AI6:AI28" si="1">$AI$2*AH6^2+$AI$3*AH6+$AI$4</f>
        <v>492</v>
      </c>
      <c r="AJ6" s="1">
        <f t="shared" ref="AJ6:AJ28" si="2">$AJ$2*AH6^2+$AJ$3*AH6+$AJ$4</f>
        <v>-2195</v>
      </c>
    </row>
    <row r="7" spans="1:36">
      <c r="A7" s="2"/>
      <c r="B7" s="2"/>
      <c r="C7" s="2"/>
      <c r="S7" s="1">
        <v>17.5</v>
      </c>
      <c r="T7" s="1">
        <v>0</v>
      </c>
      <c r="U7" s="1">
        <f t="shared" ref="U7:AB8" si="3">$S7*U$4+$T7</f>
        <v>-175</v>
      </c>
      <c r="V7" s="1">
        <f t="shared" si="3"/>
        <v>-140</v>
      </c>
      <c r="W7" s="1">
        <f t="shared" si="3"/>
        <v>-87.5</v>
      </c>
      <c r="X7" s="1">
        <f t="shared" si="3"/>
        <v>-35</v>
      </c>
      <c r="Y7" s="1">
        <f t="shared" si="3"/>
        <v>17.5</v>
      </c>
      <c r="Z7" s="1">
        <f t="shared" si="3"/>
        <v>87.5</v>
      </c>
      <c r="AA7" s="1">
        <f t="shared" si="3"/>
        <v>122.5</v>
      </c>
      <c r="AB7" s="1">
        <f t="shared" si="3"/>
        <v>175</v>
      </c>
      <c r="AC7" s="1"/>
      <c r="AD7" s="1"/>
      <c r="AE7" s="1"/>
      <c r="AH7">
        <f t="shared" ref="AH7:AH26" si="4">AH6+1</f>
        <v>-19</v>
      </c>
      <c r="AI7" s="1">
        <f t="shared" si="1"/>
        <v>431</v>
      </c>
      <c r="AJ7" s="1">
        <f t="shared" si="2"/>
        <v>-2009</v>
      </c>
    </row>
    <row r="8" spans="1:36">
      <c r="A8" s="2"/>
      <c r="B8" s="2"/>
      <c r="C8" s="2"/>
      <c r="S8" s="1">
        <v>0.7</v>
      </c>
      <c r="T8" s="1">
        <v>-4.5</v>
      </c>
      <c r="U8" s="1">
        <f t="shared" si="3"/>
        <v>-11.5</v>
      </c>
      <c r="V8" s="1">
        <f t="shared" si="3"/>
        <v>-10.1</v>
      </c>
      <c r="W8" s="1">
        <f t="shared" si="3"/>
        <v>-8</v>
      </c>
      <c r="X8" s="1">
        <f t="shared" si="3"/>
        <v>-5.9</v>
      </c>
      <c r="Y8" s="1">
        <f t="shared" si="3"/>
        <v>-3.8</v>
      </c>
      <c r="Z8" s="1">
        <f t="shared" si="3"/>
        <v>-1</v>
      </c>
      <c r="AA8" s="1">
        <f t="shared" si="3"/>
        <v>0.39999999999999947</v>
      </c>
      <c r="AB8" s="1">
        <f t="shared" si="3"/>
        <v>2.5</v>
      </c>
      <c r="AC8" s="1"/>
      <c r="AD8" s="1"/>
      <c r="AE8" s="1"/>
      <c r="AH8">
        <f t="shared" si="4"/>
        <v>-18</v>
      </c>
      <c r="AI8" s="1">
        <f t="shared" si="1"/>
        <v>374</v>
      </c>
      <c r="AJ8" s="1">
        <f t="shared" si="2"/>
        <v>-1831</v>
      </c>
    </row>
    <row r="9" spans="1:36">
      <c r="A9" s="2"/>
      <c r="B9" s="2"/>
      <c r="C9" s="2"/>
      <c r="U9" s="1">
        <v>-9.5</v>
      </c>
      <c r="V9" s="1">
        <v>-11</v>
      </c>
      <c r="W9" s="1">
        <v>-9</v>
      </c>
      <c r="X9" s="1">
        <v>-4.5</v>
      </c>
      <c r="Y9" s="1">
        <v>-5</v>
      </c>
      <c r="Z9" s="1">
        <v>1</v>
      </c>
      <c r="AA9" s="1">
        <v>-0.5</v>
      </c>
      <c r="AB9" s="1">
        <v>3.5</v>
      </c>
      <c r="AC9" s="1"/>
      <c r="AD9" s="1"/>
      <c r="AE9" s="1"/>
      <c r="AF9">
        <f>SUM(U9:AB9)/8</f>
        <v>-4.375</v>
      </c>
      <c r="AH9">
        <f t="shared" si="4"/>
        <v>-17</v>
      </c>
      <c r="AI9" s="1">
        <f t="shared" si="1"/>
        <v>321</v>
      </c>
      <c r="AJ9" s="1">
        <f t="shared" si="2"/>
        <v>-1661</v>
      </c>
    </row>
    <row r="10" spans="1:36">
      <c r="A10" s="2"/>
      <c r="B10" s="2"/>
      <c r="C10" s="2"/>
      <c r="AH10">
        <f t="shared" si="4"/>
        <v>-16</v>
      </c>
      <c r="AI10" s="1">
        <f t="shared" si="1"/>
        <v>272</v>
      </c>
      <c r="AJ10" s="1">
        <f t="shared" si="2"/>
        <v>-1499</v>
      </c>
    </row>
    <row r="11" spans="1:36">
      <c r="A11" s="2"/>
      <c r="B11" s="2"/>
      <c r="C11" s="2"/>
      <c r="AF11">
        <f>AF9/AF4</f>
        <v>17.5</v>
      </c>
      <c r="AH11">
        <f t="shared" si="4"/>
        <v>-15</v>
      </c>
      <c r="AI11" s="1">
        <f t="shared" si="1"/>
        <v>227</v>
      </c>
      <c r="AJ11" s="1">
        <f t="shared" si="2"/>
        <v>-1345</v>
      </c>
    </row>
    <row r="12" spans="1:36">
      <c r="A12" s="2"/>
      <c r="B12" s="2"/>
      <c r="C12" s="2"/>
      <c r="L12" s="18"/>
      <c r="AH12">
        <f t="shared" si="4"/>
        <v>-14</v>
      </c>
      <c r="AI12" s="1">
        <f t="shared" si="1"/>
        <v>186</v>
      </c>
      <c r="AJ12" s="1">
        <f t="shared" si="2"/>
        <v>-1199</v>
      </c>
    </row>
    <row r="13" spans="1:36">
      <c r="A13" s="2"/>
      <c r="B13" s="2"/>
      <c r="C13" s="2"/>
      <c r="AH13">
        <f t="shared" si="4"/>
        <v>-13</v>
      </c>
      <c r="AI13" s="1">
        <f t="shared" si="1"/>
        <v>149</v>
      </c>
      <c r="AJ13" s="1">
        <f t="shared" si="2"/>
        <v>-1061</v>
      </c>
    </row>
    <row r="14" spans="1:36">
      <c r="A14" s="2"/>
      <c r="B14" s="2"/>
      <c r="C14" s="2"/>
      <c r="AH14">
        <f t="shared" si="4"/>
        <v>-12</v>
      </c>
      <c r="AI14" s="1">
        <f t="shared" si="1"/>
        <v>116</v>
      </c>
      <c r="AJ14" s="1">
        <f t="shared" si="2"/>
        <v>-931</v>
      </c>
    </row>
    <row r="15" spans="1:36">
      <c r="A15" s="2"/>
      <c r="B15" s="2"/>
      <c r="C15" s="2"/>
      <c r="AH15">
        <f t="shared" si="4"/>
        <v>-11</v>
      </c>
      <c r="AI15" s="1">
        <f t="shared" si="1"/>
        <v>87</v>
      </c>
      <c r="AJ15" s="1">
        <f t="shared" si="2"/>
        <v>-809</v>
      </c>
    </row>
    <row r="16" spans="1:36">
      <c r="A16" s="2"/>
      <c r="B16" s="2"/>
      <c r="C16" s="2"/>
      <c r="AH16">
        <f t="shared" si="4"/>
        <v>-10</v>
      </c>
      <c r="AI16" s="1">
        <f t="shared" si="1"/>
        <v>62</v>
      </c>
      <c r="AJ16" s="1">
        <f t="shared" si="2"/>
        <v>-695</v>
      </c>
    </row>
    <row r="17" spans="1:36">
      <c r="A17" s="2"/>
      <c r="B17" s="2"/>
      <c r="C17" s="2"/>
      <c r="AH17">
        <f t="shared" si="4"/>
        <v>-9</v>
      </c>
      <c r="AI17" s="1">
        <f t="shared" si="1"/>
        <v>41</v>
      </c>
      <c r="AJ17" s="1">
        <f t="shared" si="2"/>
        <v>-589</v>
      </c>
    </row>
    <row r="18" spans="1:36">
      <c r="A18" s="2"/>
      <c r="B18" s="2"/>
      <c r="C18" s="2"/>
      <c r="AH18">
        <f t="shared" si="4"/>
        <v>-8</v>
      </c>
      <c r="AI18" s="1">
        <f t="shared" si="1"/>
        <v>24</v>
      </c>
      <c r="AJ18" s="1">
        <f t="shared" si="2"/>
        <v>-491</v>
      </c>
    </row>
    <row r="19" spans="1:36">
      <c r="A19" s="2" t="s">
        <v>847</v>
      </c>
      <c r="B19" s="2"/>
      <c r="C19" s="2"/>
      <c r="AH19">
        <f t="shared" si="4"/>
        <v>-7</v>
      </c>
      <c r="AI19" s="1">
        <f t="shared" si="1"/>
        <v>11</v>
      </c>
      <c r="AJ19" s="1">
        <f t="shared" si="2"/>
        <v>-401</v>
      </c>
    </row>
    <row r="20" spans="1:36">
      <c r="A20" s="2"/>
      <c r="B20" s="2"/>
      <c r="C20" s="2"/>
      <c r="AH20">
        <f t="shared" si="4"/>
        <v>-6</v>
      </c>
      <c r="AI20" s="1">
        <f t="shared" si="1"/>
        <v>2</v>
      </c>
      <c r="AJ20" s="1">
        <f t="shared" si="2"/>
        <v>-319</v>
      </c>
    </row>
    <row r="21" spans="1:36">
      <c r="A21" s="2" t="s">
        <v>848</v>
      </c>
      <c r="I21" s="91"/>
      <c r="AH21">
        <f t="shared" si="4"/>
        <v>-5</v>
      </c>
      <c r="AI21" s="1">
        <f t="shared" si="1"/>
        <v>-3</v>
      </c>
      <c r="AJ21" s="1">
        <f t="shared" si="2"/>
        <v>-245</v>
      </c>
    </row>
    <row r="22" spans="1:36">
      <c r="A22" s="2" t="s">
        <v>810</v>
      </c>
      <c r="I22" s="91"/>
      <c r="AH22">
        <f t="shared" si="4"/>
        <v>-4</v>
      </c>
      <c r="AI22" s="1">
        <f t="shared" si="1"/>
        <v>-4</v>
      </c>
      <c r="AJ22" s="1">
        <f t="shared" si="2"/>
        <v>-179</v>
      </c>
    </row>
    <row r="23" spans="1:36">
      <c r="A23" s="2" t="s">
        <v>813</v>
      </c>
      <c r="B23" s="14"/>
      <c r="C23" s="14"/>
      <c r="D23" s="91"/>
      <c r="E23" s="91"/>
      <c r="F23" s="91"/>
      <c r="G23" s="91"/>
      <c r="H23" s="91"/>
      <c r="I23" s="91"/>
      <c r="AH23">
        <f t="shared" si="4"/>
        <v>-3</v>
      </c>
      <c r="AI23" s="1">
        <f t="shared" si="1"/>
        <v>-1</v>
      </c>
      <c r="AJ23" s="1">
        <f t="shared" si="2"/>
        <v>-121</v>
      </c>
    </row>
    <row r="24" spans="1:36">
      <c r="A24" s="2" t="s">
        <v>826</v>
      </c>
      <c r="B24" s="14"/>
      <c r="C24" s="14"/>
      <c r="D24" s="91"/>
      <c r="E24" s="91"/>
      <c r="F24" s="91"/>
      <c r="G24" s="91"/>
      <c r="H24" s="91"/>
      <c r="I24" s="91"/>
      <c r="AH24">
        <f t="shared" si="4"/>
        <v>-2</v>
      </c>
      <c r="AI24" s="1">
        <f t="shared" si="1"/>
        <v>6</v>
      </c>
      <c r="AJ24" s="1">
        <f t="shared" si="2"/>
        <v>-71</v>
      </c>
    </row>
    <row r="25" spans="1:36">
      <c r="A25" s="17"/>
      <c r="B25" s="17"/>
      <c r="C25" s="17"/>
      <c r="D25" s="18"/>
      <c r="E25" s="18"/>
      <c r="F25" s="18"/>
      <c r="G25" s="18"/>
      <c r="H25" s="18"/>
      <c r="AH25">
        <f t="shared" si="4"/>
        <v>-1</v>
      </c>
      <c r="AI25" s="1">
        <f t="shared" si="1"/>
        <v>17</v>
      </c>
      <c r="AJ25" s="1">
        <f t="shared" si="2"/>
        <v>-29</v>
      </c>
    </row>
    <row r="26" spans="1:36">
      <c r="A26" s="2" t="s">
        <v>815</v>
      </c>
      <c r="B26" s="14"/>
      <c r="C26" s="14"/>
      <c r="D26" s="91"/>
      <c r="E26" s="91"/>
      <c r="F26" s="91"/>
      <c r="G26" s="91"/>
      <c r="H26" s="91"/>
      <c r="I26" s="91"/>
      <c r="AH26">
        <f t="shared" si="4"/>
        <v>0</v>
      </c>
      <c r="AI26" s="1">
        <f t="shared" si="1"/>
        <v>32</v>
      </c>
      <c r="AJ26" s="1">
        <f t="shared" si="2"/>
        <v>5</v>
      </c>
    </row>
    <row r="27" spans="1:36">
      <c r="A27" s="2" t="s">
        <v>827</v>
      </c>
      <c r="B27" s="14"/>
      <c r="C27" s="14"/>
      <c r="D27" s="91"/>
      <c r="E27" s="91"/>
      <c r="F27" s="91"/>
      <c r="G27" s="91"/>
      <c r="H27" s="91"/>
      <c r="I27" s="91"/>
      <c r="AH27">
        <f t="shared" ref="AH27:AH44" si="5">AH26+1</f>
        <v>1</v>
      </c>
      <c r="AI27" s="1">
        <f t="shared" si="1"/>
        <v>51</v>
      </c>
      <c r="AJ27" s="1">
        <f t="shared" si="2"/>
        <v>31</v>
      </c>
    </row>
    <row r="28" spans="1:36">
      <c r="A28" s="2" t="s">
        <v>828</v>
      </c>
      <c r="B28" s="14"/>
      <c r="C28" s="14"/>
      <c r="D28" s="91"/>
      <c r="E28" s="91"/>
      <c r="F28" s="91"/>
      <c r="G28" s="91"/>
      <c r="H28" s="91"/>
      <c r="I28" s="91"/>
      <c r="AH28">
        <f t="shared" si="5"/>
        <v>2</v>
      </c>
      <c r="AI28" s="1">
        <f t="shared" si="1"/>
        <v>74</v>
      </c>
      <c r="AJ28" s="1">
        <f t="shared" si="2"/>
        <v>49</v>
      </c>
    </row>
    <row r="29" spans="1:36">
      <c r="A29" s="2" t="s">
        <v>962</v>
      </c>
      <c r="B29" s="14"/>
      <c r="C29" s="14"/>
      <c r="D29" s="91"/>
      <c r="E29" s="91"/>
      <c r="F29" s="91"/>
      <c r="G29" s="91"/>
      <c r="H29" s="91"/>
      <c r="I29" s="91"/>
      <c r="AH29">
        <f t="shared" si="5"/>
        <v>3</v>
      </c>
      <c r="AI29" s="1">
        <f t="shared" ref="AI29:AI44" si="6">$AI$2*AH29^2+$AI$3*AH29+$AI$4</f>
        <v>101</v>
      </c>
      <c r="AJ29" s="1">
        <f t="shared" ref="AJ29:AJ44" si="7">$AJ$2*AH29^2+$AJ$3*AH29+$AJ$4</f>
        <v>59</v>
      </c>
    </row>
    <row r="30" spans="1:36">
      <c r="A30" s="2" t="s">
        <v>963</v>
      </c>
      <c r="B30" s="14"/>
      <c r="C30" s="14"/>
      <c r="D30" s="91"/>
      <c r="E30" s="91"/>
      <c r="F30" s="91"/>
      <c r="G30" s="91"/>
      <c r="H30" s="91"/>
      <c r="I30" s="91"/>
      <c r="AH30">
        <f t="shared" si="5"/>
        <v>4</v>
      </c>
      <c r="AI30" s="1">
        <f t="shared" si="6"/>
        <v>132</v>
      </c>
      <c r="AJ30" s="1">
        <f t="shared" si="7"/>
        <v>61</v>
      </c>
    </row>
    <row r="31" spans="1:36">
      <c r="A31" s="2" t="s">
        <v>956</v>
      </c>
      <c r="B31" s="14"/>
      <c r="C31" s="14"/>
      <c r="D31" s="91"/>
      <c r="E31" s="91"/>
      <c r="F31" s="91"/>
      <c r="G31" s="91"/>
      <c r="H31" s="91"/>
      <c r="I31" s="91"/>
      <c r="AH31">
        <f t="shared" si="5"/>
        <v>5</v>
      </c>
      <c r="AI31" s="1">
        <f t="shared" si="6"/>
        <v>167</v>
      </c>
      <c r="AJ31" s="1">
        <f t="shared" si="7"/>
        <v>55</v>
      </c>
    </row>
    <row r="32" spans="1:36">
      <c r="A32" s="14" t="s">
        <v>811</v>
      </c>
      <c r="B32" s="14"/>
      <c r="C32" s="14"/>
      <c r="D32" s="91"/>
      <c r="E32" s="91"/>
      <c r="F32" s="91"/>
      <c r="G32" s="91"/>
      <c r="H32" s="91"/>
      <c r="I32" s="91"/>
      <c r="AH32">
        <f t="shared" si="5"/>
        <v>6</v>
      </c>
      <c r="AI32" s="1">
        <f t="shared" si="6"/>
        <v>206</v>
      </c>
      <c r="AJ32" s="1">
        <f t="shared" si="7"/>
        <v>41</v>
      </c>
    </row>
    <row r="33" spans="1:36">
      <c r="A33" s="2"/>
      <c r="B33" s="14"/>
      <c r="C33" s="14"/>
      <c r="D33" s="91"/>
      <c r="E33" s="91"/>
      <c r="F33" s="91"/>
      <c r="G33" s="91"/>
      <c r="H33" s="91"/>
      <c r="I33" s="91"/>
      <c r="AH33">
        <f t="shared" si="5"/>
        <v>7</v>
      </c>
      <c r="AI33" s="1">
        <f t="shared" si="6"/>
        <v>249</v>
      </c>
      <c r="AJ33" s="1">
        <f t="shared" si="7"/>
        <v>19</v>
      </c>
    </row>
    <row r="34" spans="1:36">
      <c r="A34" s="2" t="s">
        <v>829</v>
      </c>
      <c r="AH34">
        <f t="shared" si="5"/>
        <v>8</v>
      </c>
      <c r="AI34" s="1">
        <f t="shared" si="6"/>
        <v>296</v>
      </c>
      <c r="AJ34" s="1">
        <f t="shared" si="7"/>
        <v>-11</v>
      </c>
    </row>
    <row r="35" spans="1:36">
      <c r="A35" s="2" t="s">
        <v>830</v>
      </c>
      <c r="AH35">
        <f t="shared" si="5"/>
        <v>9</v>
      </c>
      <c r="AI35" s="1">
        <f t="shared" si="6"/>
        <v>347</v>
      </c>
      <c r="AJ35" s="1">
        <f t="shared" si="7"/>
        <v>-49</v>
      </c>
    </row>
    <row r="36" spans="1:36">
      <c r="A36" s="2"/>
      <c r="AH36">
        <f t="shared" si="5"/>
        <v>10</v>
      </c>
      <c r="AI36" s="1">
        <f t="shared" si="6"/>
        <v>402</v>
      </c>
      <c r="AJ36" s="1">
        <f t="shared" si="7"/>
        <v>-95</v>
      </c>
    </row>
    <row r="37" spans="1:36">
      <c r="AH37">
        <f t="shared" si="5"/>
        <v>11</v>
      </c>
      <c r="AI37" s="1">
        <f t="shared" si="6"/>
        <v>461</v>
      </c>
      <c r="AJ37" s="1">
        <f t="shared" si="7"/>
        <v>-149</v>
      </c>
    </row>
    <row r="38" spans="1:36">
      <c r="AH38">
        <f t="shared" si="5"/>
        <v>12</v>
      </c>
      <c r="AI38" s="1">
        <f t="shared" si="6"/>
        <v>524</v>
      </c>
      <c r="AJ38" s="1">
        <f t="shared" si="7"/>
        <v>-211</v>
      </c>
    </row>
    <row r="39" spans="1:36">
      <c r="L39" s="2"/>
      <c r="AH39">
        <f t="shared" si="5"/>
        <v>13</v>
      </c>
      <c r="AI39" s="1">
        <f t="shared" si="6"/>
        <v>591</v>
      </c>
      <c r="AJ39" s="1">
        <f t="shared" si="7"/>
        <v>-281</v>
      </c>
    </row>
    <row r="40" spans="1:36">
      <c r="A40" s="2" t="s">
        <v>831</v>
      </c>
      <c r="L40" s="2"/>
      <c r="AH40">
        <f t="shared" si="5"/>
        <v>14</v>
      </c>
      <c r="AI40" s="1">
        <f t="shared" si="6"/>
        <v>662</v>
      </c>
      <c r="AJ40" s="1">
        <f t="shared" si="7"/>
        <v>-359</v>
      </c>
    </row>
    <row r="41" spans="1:36">
      <c r="A41" s="2" t="s">
        <v>832</v>
      </c>
      <c r="L41" s="2"/>
      <c r="AH41">
        <f t="shared" si="5"/>
        <v>15</v>
      </c>
      <c r="AI41" s="1">
        <f t="shared" si="6"/>
        <v>737</v>
      </c>
      <c r="AJ41" s="1">
        <f t="shared" si="7"/>
        <v>-445</v>
      </c>
    </row>
    <row r="42" spans="1:36">
      <c r="A42" s="2" t="s">
        <v>698</v>
      </c>
      <c r="AH42">
        <f t="shared" si="5"/>
        <v>16</v>
      </c>
      <c r="AI42" s="1">
        <f t="shared" si="6"/>
        <v>816</v>
      </c>
      <c r="AJ42" s="1">
        <f t="shared" si="7"/>
        <v>-539</v>
      </c>
    </row>
    <row r="43" spans="1:36">
      <c r="A43" s="2" t="s">
        <v>699</v>
      </c>
      <c r="AH43">
        <f t="shared" si="5"/>
        <v>17</v>
      </c>
      <c r="AI43" s="1">
        <f t="shared" si="6"/>
        <v>899</v>
      </c>
      <c r="AJ43" s="1">
        <f t="shared" si="7"/>
        <v>-641</v>
      </c>
    </row>
    <row r="44" spans="1:36">
      <c r="A44" s="2" t="s">
        <v>834</v>
      </c>
      <c r="AH44">
        <f t="shared" si="5"/>
        <v>18</v>
      </c>
      <c r="AI44" s="1">
        <f t="shared" si="6"/>
        <v>986</v>
      </c>
      <c r="AJ44" s="1">
        <f t="shared" si="7"/>
        <v>-751</v>
      </c>
    </row>
    <row r="45" spans="1:36">
      <c r="A45" s="2" t="s">
        <v>700</v>
      </c>
    </row>
    <row r="53" spans="1:6">
      <c r="A53" s="2" t="s">
        <v>833</v>
      </c>
    </row>
    <row r="54" spans="1:6">
      <c r="A54" s="14" t="s">
        <v>809</v>
      </c>
      <c r="C54" s="2"/>
      <c r="D54" s="2"/>
      <c r="E54" s="4"/>
      <c r="F54" s="2"/>
    </row>
    <row r="56" spans="1:6">
      <c r="A56" s="2" t="s">
        <v>846</v>
      </c>
    </row>
    <row r="75" spans="1:2">
      <c r="A75" s="2" t="s">
        <v>745</v>
      </c>
      <c r="B75" s="5">
        <f>AVERAGE('ITE FV'!A16:A25)</f>
        <v>5.5</v>
      </c>
    </row>
    <row r="76" spans="1:2">
      <c r="A76" s="2" t="s">
        <v>746</v>
      </c>
      <c r="B76" s="5">
        <f>AVERAGE('ITE FV'!B16:B25)</f>
        <v>6.1</v>
      </c>
    </row>
    <row r="77" spans="1:2">
      <c r="A77" s="2" t="s">
        <v>747</v>
      </c>
      <c r="B77" s="2"/>
    </row>
    <row r="78" spans="1:2">
      <c r="A78" s="2" t="s">
        <v>843</v>
      </c>
      <c r="B78" s="2"/>
    </row>
    <row r="79" spans="1:2">
      <c r="A79" s="2"/>
      <c r="B79" s="2"/>
    </row>
    <row r="80" spans="1:2">
      <c r="A80" s="14" t="s">
        <v>844</v>
      </c>
      <c r="B80" s="2"/>
    </row>
    <row r="81" spans="1:13">
      <c r="A81" s="14"/>
      <c r="B81" s="2"/>
    </row>
    <row r="82" spans="1:13">
      <c r="A82" s="4" t="s">
        <v>973</v>
      </c>
      <c r="B82" s="2"/>
    </row>
    <row r="83" spans="1:13">
      <c r="A83" s="14"/>
      <c r="B83" s="2"/>
    </row>
    <row r="84" spans="1:13">
      <c r="A84" s="2" t="s">
        <v>972</v>
      </c>
      <c r="B84" s="2"/>
    </row>
    <row r="85" spans="1:13">
      <c r="A85" s="14"/>
      <c r="B85" s="2"/>
    </row>
    <row r="86" spans="1:13">
      <c r="A86" s="14"/>
      <c r="B86" s="2"/>
      <c r="C86" s="2">
        <v>0.08</v>
      </c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>
      <c r="A87" s="2"/>
      <c r="B87" s="2"/>
      <c r="C87" s="2">
        <v>0.75</v>
      </c>
      <c r="D87" s="2"/>
      <c r="E87" s="2">
        <f>C87+$C$86</f>
        <v>0.83</v>
      </c>
      <c r="F87" s="2"/>
      <c r="G87" s="2">
        <f>E87+$C$86</f>
        <v>0.90999999999999992</v>
      </c>
      <c r="H87" s="2"/>
      <c r="I87" s="2">
        <f>G87+$C$86</f>
        <v>0.98999999999999988</v>
      </c>
      <c r="J87" s="2"/>
      <c r="K87" s="2">
        <f>I87+$C$86</f>
        <v>1.0699999999999998</v>
      </c>
      <c r="L87" s="2"/>
      <c r="M87" s="2"/>
    </row>
    <row r="88" spans="1:13">
      <c r="A88" s="63"/>
      <c r="B88" s="63" t="s">
        <v>4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>
      <c r="A89" s="64">
        <v>0</v>
      </c>
      <c r="B89" s="64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>
      <c r="A90" s="64">
        <v>1</v>
      </c>
      <c r="B90" s="64">
        <v>3</v>
      </c>
      <c r="C90" s="2">
        <f t="shared" ref="C90:C99" si="8">$A90*C$87</f>
        <v>0.75</v>
      </c>
      <c r="D90" s="2">
        <f>C90-$B90</f>
        <v>-2.25</v>
      </c>
      <c r="E90" s="2">
        <f t="shared" ref="E90:E99" si="9">$A90*E$87</f>
        <v>0.83</v>
      </c>
      <c r="F90" s="2">
        <f>E90-$B90</f>
        <v>-2.17</v>
      </c>
      <c r="G90" s="2">
        <f t="shared" ref="G90:G99" si="10">$A90*G$87</f>
        <v>0.90999999999999992</v>
      </c>
      <c r="H90" s="2">
        <f>G90-$B90</f>
        <v>-2.09</v>
      </c>
      <c r="I90" s="2">
        <f t="shared" ref="I90:I99" si="11">$A90*I$87</f>
        <v>0.98999999999999988</v>
      </c>
      <c r="J90" s="2">
        <f>I90-$B90</f>
        <v>-2.0100000000000002</v>
      </c>
      <c r="K90" s="2">
        <f t="shared" ref="K90:K99" si="12">$A90*K$87</f>
        <v>1.0699999999999998</v>
      </c>
      <c r="L90" s="2">
        <f>K90-$B90</f>
        <v>-1.9300000000000002</v>
      </c>
      <c r="M90" s="2"/>
    </row>
    <row r="91" spans="1:13">
      <c r="A91" s="65">
        <v>2</v>
      </c>
      <c r="B91" s="65">
        <v>2</v>
      </c>
      <c r="C91" s="2">
        <f t="shared" si="8"/>
        <v>1.5</v>
      </c>
      <c r="D91" s="2">
        <f t="shared" ref="D91:F99" si="13">C91-$B91</f>
        <v>-0.5</v>
      </c>
      <c r="E91" s="2">
        <f t="shared" si="9"/>
        <v>1.66</v>
      </c>
      <c r="F91" s="2">
        <f t="shared" si="13"/>
        <v>-0.34000000000000008</v>
      </c>
      <c r="G91" s="2">
        <f t="shared" si="10"/>
        <v>1.8199999999999998</v>
      </c>
      <c r="H91" s="2">
        <f t="shared" ref="H91" si="14">G91-$B91</f>
        <v>-0.18000000000000016</v>
      </c>
      <c r="I91" s="2">
        <f t="shared" si="11"/>
        <v>1.9799999999999998</v>
      </c>
      <c r="J91" s="2">
        <f t="shared" ref="J91" si="15">I91-$B91</f>
        <v>-2.000000000000024E-2</v>
      </c>
      <c r="K91" s="2">
        <f t="shared" si="12"/>
        <v>2.1399999999999997</v>
      </c>
      <c r="L91" s="2">
        <f t="shared" ref="L91" si="16">K91-$B91</f>
        <v>0.13999999999999968</v>
      </c>
      <c r="M91" s="2"/>
    </row>
    <row r="92" spans="1:13">
      <c r="A92" s="65">
        <v>3</v>
      </c>
      <c r="B92" s="65">
        <v>5</v>
      </c>
      <c r="C92" s="2">
        <f t="shared" si="8"/>
        <v>2.25</v>
      </c>
      <c r="D92" s="2">
        <f t="shared" si="13"/>
        <v>-2.75</v>
      </c>
      <c r="E92" s="2">
        <f t="shared" si="9"/>
        <v>2.4899999999999998</v>
      </c>
      <c r="F92" s="2">
        <f t="shared" si="13"/>
        <v>-2.5100000000000002</v>
      </c>
      <c r="G92" s="2">
        <f t="shared" si="10"/>
        <v>2.7299999999999995</v>
      </c>
      <c r="H92" s="2">
        <f t="shared" ref="H92" si="17">G92-$B92</f>
        <v>-2.2700000000000005</v>
      </c>
      <c r="I92" s="2">
        <f t="shared" si="11"/>
        <v>2.9699999999999998</v>
      </c>
      <c r="J92" s="2">
        <f t="shared" ref="J92" si="18">I92-$B92</f>
        <v>-2.0300000000000002</v>
      </c>
      <c r="K92" s="2">
        <f t="shared" si="12"/>
        <v>3.2099999999999995</v>
      </c>
      <c r="L92" s="2">
        <f t="shared" ref="L92" si="19">K92-$B92</f>
        <v>-1.7900000000000005</v>
      </c>
      <c r="M92" s="2"/>
    </row>
    <row r="93" spans="1:13">
      <c r="A93" s="65">
        <v>4</v>
      </c>
      <c r="B93" s="65">
        <v>7</v>
      </c>
      <c r="C93" s="2">
        <f t="shared" si="8"/>
        <v>3</v>
      </c>
      <c r="D93" s="2">
        <f t="shared" si="13"/>
        <v>-4</v>
      </c>
      <c r="E93" s="2">
        <f t="shared" si="9"/>
        <v>3.32</v>
      </c>
      <c r="F93" s="2">
        <f t="shared" si="13"/>
        <v>-3.68</v>
      </c>
      <c r="G93" s="2">
        <f t="shared" si="10"/>
        <v>3.6399999999999997</v>
      </c>
      <c r="H93" s="2">
        <f t="shared" ref="H93" si="20">G93-$B93</f>
        <v>-3.3600000000000003</v>
      </c>
      <c r="I93" s="2">
        <f t="shared" si="11"/>
        <v>3.9599999999999995</v>
      </c>
      <c r="J93" s="2">
        <f t="shared" ref="J93" si="21">I93-$B93</f>
        <v>-3.0400000000000005</v>
      </c>
      <c r="K93" s="2">
        <f t="shared" si="12"/>
        <v>4.2799999999999994</v>
      </c>
      <c r="L93" s="2">
        <f t="shared" ref="L93" si="22">K93-$B93</f>
        <v>-2.7200000000000006</v>
      </c>
      <c r="M93" s="2"/>
    </row>
    <row r="94" spans="1:13">
      <c r="A94" s="65">
        <v>5</v>
      </c>
      <c r="B94" s="65">
        <v>4</v>
      </c>
      <c r="C94" s="2">
        <f t="shared" si="8"/>
        <v>3.75</v>
      </c>
      <c r="D94" s="2">
        <f t="shared" si="13"/>
        <v>-0.25</v>
      </c>
      <c r="E94" s="2">
        <f t="shared" si="9"/>
        <v>4.1499999999999995</v>
      </c>
      <c r="F94" s="2">
        <f t="shared" si="13"/>
        <v>0.14999999999999947</v>
      </c>
      <c r="G94" s="2">
        <f t="shared" si="10"/>
        <v>4.55</v>
      </c>
      <c r="H94" s="2">
        <f t="shared" ref="H94" si="23">G94-$B94</f>
        <v>0.54999999999999982</v>
      </c>
      <c r="I94" s="2">
        <f t="shared" si="11"/>
        <v>4.9499999999999993</v>
      </c>
      <c r="J94" s="2">
        <f t="shared" ref="J94" si="24">I94-$B94</f>
        <v>0.94999999999999929</v>
      </c>
      <c r="K94" s="2">
        <f t="shared" si="12"/>
        <v>5.35</v>
      </c>
      <c r="L94" s="2">
        <f t="shared" ref="L94" si="25">K94-$B94</f>
        <v>1.3499999999999996</v>
      </c>
      <c r="M94" s="2"/>
    </row>
    <row r="95" spans="1:13">
      <c r="A95" s="65">
        <v>6</v>
      </c>
      <c r="B95" s="65">
        <v>8</v>
      </c>
      <c r="C95" s="2">
        <f t="shared" si="8"/>
        <v>4.5</v>
      </c>
      <c r="D95" s="2">
        <f t="shared" si="13"/>
        <v>-3.5</v>
      </c>
      <c r="E95" s="2">
        <f t="shared" si="9"/>
        <v>4.9799999999999995</v>
      </c>
      <c r="F95" s="2">
        <f t="shared" si="13"/>
        <v>-3.0200000000000005</v>
      </c>
      <c r="G95" s="2">
        <f t="shared" si="10"/>
        <v>5.4599999999999991</v>
      </c>
      <c r="H95" s="2">
        <f t="shared" ref="H95" si="26">G95-$B95</f>
        <v>-2.5400000000000009</v>
      </c>
      <c r="I95" s="2">
        <f t="shared" si="11"/>
        <v>5.9399999999999995</v>
      </c>
      <c r="J95" s="2">
        <f t="shared" ref="J95" si="27">I95-$B95</f>
        <v>-2.0600000000000005</v>
      </c>
      <c r="K95" s="2">
        <f t="shared" si="12"/>
        <v>6.419999999999999</v>
      </c>
      <c r="L95" s="2">
        <f t="shared" ref="L95" si="28">K95-$B95</f>
        <v>-1.580000000000001</v>
      </c>
      <c r="M95" s="2"/>
    </row>
    <row r="96" spans="1:13">
      <c r="A96" s="65">
        <v>7</v>
      </c>
      <c r="B96" s="65">
        <v>5</v>
      </c>
      <c r="C96" s="2">
        <f t="shared" si="8"/>
        <v>5.25</v>
      </c>
      <c r="D96" s="2">
        <f t="shared" si="13"/>
        <v>0.25</v>
      </c>
      <c r="E96" s="2">
        <f t="shared" si="9"/>
        <v>5.81</v>
      </c>
      <c r="F96" s="2">
        <f t="shared" si="13"/>
        <v>0.80999999999999961</v>
      </c>
      <c r="G96" s="2">
        <f t="shared" si="10"/>
        <v>6.3699999999999992</v>
      </c>
      <c r="H96" s="2">
        <f t="shared" ref="H96" si="29">G96-$B96</f>
        <v>1.3699999999999992</v>
      </c>
      <c r="I96" s="2">
        <f t="shared" si="11"/>
        <v>6.9299999999999988</v>
      </c>
      <c r="J96" s="2">
        <f t="shared" ref="J96" si="30">I96-$B96</f>
        <v>1.9299999999999988</v>
      </c>
      <c r="K96" s="2">
        <f t="shared" si="12"/>
        <v>7.4899999999999984</v>
      </c>
      <c r="L96" s="2">
        <f t="shared" ref="L96" si="31">K96-$B96</f>
        <v>2.4899999999999984</v>
      </c>
      <c r="M96" s="2"/>
    </row>
    <row r="97" spans="1:13">
      <c r="A97" s="65">
        <v>8</v>
      </c>
      <c r="B97" s="65">
        <v>7</v>
      </c>
      <c r="C97" s="2">
        <f t="shared" si="8"/>
        <v>6</v>
      </c>
      <c r="D97" s="2">
        <f t="shared" si="13"/>
        <v>-1</v>
      </c>
      <c r="E97" s="2">
        <f t="shared" si="9"/>
        <v>6.64</v>
      </c>
      <c r="F97" s="2">
        <f t="shared" si="13"/>
        <v>-0.36000000000000032</v>
      </c>
      <c r="G97" s="2">
        <f t="shared" si="10"/>
        <v>7.2799999999999994</v>
      </c>
      <c r="H97" s="2">
        <f t="shared" ref="H97" si="32">G97-$B97</f>
        <v>0.27999999999999936</v>
      </c>
      <c r="I97" s="2">
        <f t="shared" si="11"/>
        <v>7.919999999999999</v>
      </c>
      <c r="J97" s="2">
        <f t="shared" ref="J97" si="33">I97-$B97</f>
        <v>0.91999999999999904</v>
      </c>
      <c r="K97" s="2">
        <f t="shared" si="12"/>
        <v>8.5599999999999987</v>
      </c>
      <c r="L97" s="2">
        <f t="shared" ref="L97" si="34">K97-$B97</f>
        <v>1.5599999999999987</v>
      </c>
      <c r="M97" s="2"/>
    </row>
    <row r="98" spans="1:13">
      <c r="A98" s="65">
        <v>9</v>
      </c>
      <c r="B98" s="65">
        <v>11</v>
      </c>
      <c r="C98" s="2">
        <f t="shared" si="8"/>
        <v>6.75</v>
      </c>
      <c r="D98" s="2">
        <f t="shared" si="13"/>
        <v>-4.25</v>
      </c>
      <c r="E98" s="2">
        <f t="shared" si="9"/>
        <v>7.47</v>
      </c>
      <c r="F98" s="2">
        <f t="shared" si="13"/>
        <v>-3.5300000000000002</v>
      </c>
      <c r="G98" s="2">
        <f t="shared" si="10"/>
        <v>8.19</v>
      </c>
      <c r="H98" s="2">
        <f t="shared" ref="H98" si="35">G98-$B98</f>
        <v>-2.8100000000000005</v>
      </c>
      <c r="I98" s="2">
        <f t="shared" si="11"/>
        <v>8.9099999999999984</v>
      </c>
      <c r="J98" s="2">
        <f t="shared" ref="J98" si="36">I98-$B98</f>
        <v>-2.0900000000000016</v>
      </c>
      <c r="K98" s="2">
        <f t="shared" si="12"/>
        <v>9.629999999999999</v>
      </c>
      <c r="L98" s="2">
        <f t="shared" ref="L98" si="37">K98-$B98</f>
        <v>-1.370000000000001</v>
      </c>
      <c r="M98" s="2"/>
    </row>
    <row r="99" spans="1:13">
      <c r="A99" s="66">
        <v>10</v>
      </c>
      <c r="B99" s="66">
        <v>9</v>
      </c>
      <c r="C99" s="2">
        <f t="shared" si="8"/>
        <v>7.5</v>
      </c>
      <c r="D99" s="2">
        <f t="shared" si="13"/>
        <v>-1.5</v>
      </c>
      <c r="E99" s="2">
        <f t="shared" si="9"/>
        <v>8.2999999999999989</v>
      </c>
      <c r="F99" s="2">
        <f t="shared" si="13"/>
        <v>-0.70000000000000107</v>
      </c>
      <c r="G99" s="2">
        <f t="shared" si="10"/>
        <v>9.1</v>
      </c>
      <c r="H99" s="2">
        <f t="shared" ref="H99" si="38">G99-$B99</f>
        <v>9.9999999999999645E-2</v>
      </c>
      <c r="I99" s="2">
        <f t="shared" si="11"/>
        <v>9.8999999999999986</v>
      </c>
      <c r="J99" s="2">
        <f t="shared" ref="J99" si="39">I99-$B99</f>
        <v>0.89999999999999858</v>
      </c>
      <c r="K99" s="2">
        <f t="shared" si="12"/>
        <v>10.7</v>
      </c>
      <c r="L99" s="2">
        <f t="shared" ref="L99" si="40">K99-$B99</f>
        <v>1.6999999999999993</v>
      </c>
      <c r="M99" s="2"/>
    </row>
    <row r="100" spans="1:13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>
      <c r="C101" s="2"/>
      <c r="D101" s="2">
        <f>AVERAGE(D90:D99)</f>
        <v>-1.9750000000000001</v>
      </c>
      <c r="E101" s="2"/>
      <c r="F101" s="2">
        <f>AVERAGE(F90:F99)</f>
        <v>-1.5350000000000004</v>
      </c>
      <c r="G101" s="2"/>
      <c r="H101" s="2">
        <f>AVERAGE(H90:H99)</f>
        <v>-1.0950000000000004</v>
      </c>
      <c r="I101" s="2"/>
      <c r="J101" s="2">
        <f>AVERAGE(J90:J99)</f>
        <v>-0.6550000000000008</v>
      </c>
      <c r="K101" s="2"/>
      <c r="L101" s="2">
        <f>AVERAGE(L90:L99)</f>
        <v>-0.21500000000000075</v>
      </c>
      <c r="M101" s="2"/>
    </row>
    <row r="102" spans="1:13">
      <c r="C102" s="2"/>
      <c r="D102" s="2">
        <f>STDEVP(D90:D99)</f>
        <v>1.5348045478170826</v>
      </c>
      <c r="E102" s="2"/>
      <c r="F102" s="2">
        <f>STDEVP(F90:F99)</f>
        <v>1.5486849259936639</v>
      </c>
      <c r="G102" s="2"/>
      <c r="H102" s="2">
        <f>STDEVP(H90:H99)</f>
        <v>1.5958775015645781</v>
      </c>
      <c r="I102" s="2"/>
      <c r="J102" s="2">
        <f>STDEVP(J90:J99)</f>
        <v>1.6735665508129633</v>
      </c>
      <c r="K102" s="2"/>
      <c r="L102" s="2">
        <f>STDEVP(L90:L99)</f>
        <v>1.7777584200334979</v>
      </c>
      <c r="M102" s="2"/>
    </row>
    <row r="104" spans="1:13">
      <c r="D104" s="14" t="s">
        <v>971</v>
      </c>
    </row>
    <row r="106" spans="1:13">
      <c r="A106" s="2" t="s">
        <v>970</v>
      </c>
      <c r="I106" s="2" t="s">
        <v>976</v>
      </c>
    </row>
    <row r="108" spans="1:13">
      <c r="C108" s="2" t="s">
        <v>967</v>
      </c>
      <c r="D108" s="2"/>
      <c r="E108" s="2"/>
      <c r="F108" s="2"/>
      <c r="G108" s="2" t="s">
        <v>967</v>
      </c>
      <c r="H108" s="2"/>
      <c r="I108" s="2"/>
      <c r="K108" s="2" t="s">
        <v>967</v>
      </c>
      <c r="L108" s="14" t="s">
        <v>974</v>
      </c>
      <c r="M108" s="2"/>
    </row>
    <row r="109" spans="1:13">
      <c r="C109" s="2" t="s">
        <v>979</v>
      </c>
      <c r="D109" s="5">
        <v>1</v>
      </c>
      <c r="E109" s="2"/>
      <c r="F109" s="2"/>
      <c r="G109" s="2">
        <v>1.078546493793151</v>
      </c>
      <c r="H109" s="2"/>
      <c r="I109" s="2"/>
      <c r="K109" s="2">
        <v>1.0782745275732304</v>
      </c>
      <c r="L109" s="2"/>
      <c r="M109" s="2"/>
    </row>
    <row r="110" spans="1:13">
      <c r="C110" s="5" t="s">
        <v>968</v>
      </c>
      <c r="D110" s="5" t="s">
        <v>969</v>
      </c>
      <c r="E110" s="5" t="s">
        <v>978</v>
      </c>
      <c r="F110" s="5"/>
      <c r="G110" s="5" t="s">
        <v>968</v>
      </c>
      <c r="H110" s="5" t="s">
        <v>969</v>
      </c>
      <c r="I110" s="5" t="s">
        <v>978</v>
      </c>
      <c r="J110" s="1"/>
      <c r="K110" s="5" t="s">
        <v>968</v>
      </c>
      <c r="L110" s="5" t="s">
        <v>969</v>
      </c>
      <c r="M110" s="5" t="s">
        <v>978</v>
      </c>
    </row>
    <row r="111" spans="1:13">
      <c r="A111" s="63"/>
      <c r="B111" s="63" t="s">
        <v>4</v>
      </c>
      <c r="C111" s="2"/>
      <c r="D111" s="2"/>
      <c r="E111" s="2"/>
      <c r="F111" s="2"/>
      <c r="G111" s="2"/>
      <c r="H111" s="2"/>
      <c r="I111" s="2"/>
      <c r="K111" s="2"/>
      <c r="L111" s="2"/>
      <c r="M111" s="2"/>
    </row>
    <row r="112" spans="1:13">
      <c r="A112" s="64">
        <v>0</v>
      </c>
      <c r="B112" s="64"/>
      <c r="C112" s="2"/>
      <c r="D112" s="2"/>
      <c r="E112" s="2"/>
      <c r="F112" s="2"/>
      <c r="G112" s="2"/>
      <c r="H112" s="2"/>
      <c r="I112" s="2"/>
      <c r="K112" s="60">
        <v>0</v>
      </c>
      <c r="L112" s="60">
        <v>0</v>
      </c>
      <c r="M112" s="60">
        <v>0</v>
      </c>
    </row>
    <row r="113" spans="1:13">
      <c r="A113" s="64">
        <v>1</v>
      </c>
      <c r="B113" s="64">
        <v>3</v>
      </c>
      <c r="C113" s="5">
        <f t="shared" ref="C113:C122" si="41">(B113+A113/$D$109)/($D$109+1/$D$109)</f>
        <v>2</v>
      </c>
      <c r="D113" s="5">
        <f t="shared" ref="D113:D122" si="42">$D$109*C113</f>
        <v>2</v>
      </c>
      <c r="E113" s="5">
        <f>((A113-C113)^2+(D113-B113)^2)^0.5</f>
        <v>1.4142135623730951</v>
      </c>
      <c r="F113" s="2"/>
      <c r="G113" s="2">
        <v>1.9579867928568349</v>
      </c>
      <c r="H113" s="2">
        <v>2.1117797903290358</v>
      </c>
      <c r="I113" s="2">
        <v>1.3063972734800298</v>
      </c>
      <c r="K113" s="2">
        <v>1.9581405940073198</v>
      </c>
      <c r="L113" s="2">
        <v>2.1114131239252076</v>
      </c>
      <c r="M113" s="2">
        <v>1.3067593635467312</v>
      </c>
    </row>
    <row r="114" spans="1:13">
      <c r="A114" s="65">
        <v>2</v>
      </c>
      <c r="B114" s="65">
        <v>2</v>
      </c>
      <c r="C114" s="5">
        <f t="shared" si="41"/>
        <v>2</v>
      </c>
      <c r="D114" s="5">
        <f t="shared" si="42"/>
        <v>2</v>
      </c>
      <c r="E114" s="5">
        <f t="shared" ref="E114:E122" si="43">((A114-C114)^2+(D114-B114)^2)^0.5</f>
        <v>0</v>
      </c>
      <c r="F114" s="2"/>
      <c r="G114" s="2">
        <v>1.9216775181538535</v>
      </c>
      <c r="H114" s="2">
        <v>2.0726185494059628</v>
      </c>
      <c r="I114" s="2">
        <v>0.10680760684691992</v>
      </c>
      <c r="K114" s="2">
        <v>1.9219472256357728</v>
      </c>
      <c r="L114" s="2">
        <v>2.0723867367430939</v>
      </c>
      <c r="M114" s="2">
        <v>0.10645222046658748</v>
      </c>
    </row>
    <row r="115" spans="1:13">
      <c r="A115" s="65">
        <v>3</v>
      </c>
      <c r="B115" s="65">
        <v>5</v>
      </c>
      <c r="C115" s="5">
        <f t="shared" si="41"/>
        <v>4</v>
      </c>
      <c r="D115" s="5">
        <f t="shared" si="42"/>
        <v>4</v>
      </c>
      <c r="E115" s="5">
        <f t="shared" si="43"/>
        <v>1.4142135623730951</v>
      </c>
      <c r="F115" s="2"/>
      <c r="G115" s="2">
        <v>3.8796643110106883</v>
      </c>
      <c r="H115" s="2">
        <v>4.1843983397349991</v>
      </c>
      <c r="I115" s="2">
        <v>1.1995896666331096</v>
      </c>
      <c r="K115" s="2">
        <v>3.8800878196430926</v>
      </c>
      <c r="L115" s="2">
        <v>4.1837998606683016</v>
      </c>
      <c r="M115" s="2">
        <v>1.2003071430801437</v>
      </c>
    </row>
    <row r="116" spans="1:13">
      <c r="A116" s="65">
        <v>4</v>
      </c>
      <c r="B116" s="65">
        <v>7</v>
      </c>
      <c r="C116" s="5">
        <f t="shared" si="41"/>
        <v>5.5</v>
      </c>
      <c r="D116" s="5">
        <f t="shared" si="42"/>
        <v>5.5</v>
      </c>
      <c r="E116" s="5">
        <f t="shared" si="43"/>
        <v>2.1213203435596424</v>
      </c>
      <c r="F116" s="2"/>
      <c r="G116" s="2">
        <v>5.3390770869775688</v>
      </c>
      <c r="H116" s="2">
        <v>5.758442872251007</v>
      </c>
      <c r="I116" s="2">
        <v>1.8260864016613947</v>
      </c>
      <c r="K116" s="2">
        <v>5.3396449230556957</v>
      </c>
      <c r="L116" s="2">
        <v>5.7576031068166786</v>
      </c>
      <c r="M116" s="2">
        <v>1.8270737697368626</v>
      </c>
    </row>
    <row r="117" spans="1:13">
      <c r="A117" s="65">
        <v>5</v>
      </c>
      <c r="B117" s="65">
        <v>4</v>
      </c>
      <c r="C117" s="5">
        <f t="shared" si="41"/>
        <v>4.5</v>
      </c>
      <c r="D117" s="5">
        <f t="shared" si="42"/>
        <v>4.5</v>
      </c>
      <c r="E117" s="5">
        <f t="shared" si="43"/>
        <v>0.70710678118654757</v>
      </c>
      <c r="F117" s="2"/>
      <c r="G117" s="2">
        <v>4.3056197784946786</v>
      </c>
      <c r="H117" s="2">
        <v>4.6438111157018795</v>
      </c>
      <c r="I117" s="2">
        <v>0.94691955556904528</v>
      </c>
      <c r="K117" s="2">
        <v>4.3062845734947155</v>
      </c>
      <c r="L117" s="2">
        <v>4.6433569640809047</v>
      </c>
      <c r="M117" s="2">
        <v>0.94612328805648116</v>
      </c>
    </row>
    <row r="118" spans="1:13">
      <c r="A118" s="65">
        <v>6</v>
      </c>
      <c r="B118" s="65">
        <v>8</v>
      </c>
      <c r="C118" s="5">
        <f t="shared" si="41"/>
        <v>7</v>
      </c>
      <c r="D118" s="5">
        <f t="shared" si="42"/>
        <v>7</v>
      </c>
      <c r="E118" s="5">
        <f t="shared" si="43"/>
        <v>1.4142135623730951</v>
      </c>
      <c r="F118" s="2"/>
      <c r="G118" s="2">
        <v>6.7621805882414678</v>
      </c>
      <c r="H118" s="2">
        <v>7.2933261638439424</v>
      </c>
      <c r="I118" s="2">
        <v>1.0393782563627298</v>
      </c>
      <c r="K118" s="2">
        <v>6.7630086580967523</v>
      </c>
      <c r="L118" s="2">
        <v>7.292379965782942</v>
      </c>
      <c r="M118" s="2">
        <v>1.0406288123802632</v>
      </c>
    </row>
    <row r="119" spans="1:13">
      <c r="A119" s="65">
        <v>7</v>
      </c>
      <c r="B119" s="65">
        <v>5</v>
      </c>
      <c r="C119" s="5">
        <f t="shared" si="41"/>
        <v>6</v>
      </c>
      <c r="D119" s="5">
        <f t="shared" si="42"/>
        <v>6</v>
      </c>
      <c r="E119" s="5">
        <f t="shared" si="43"/>
        <v>1.4142135623730951</v>
      </c>
      <c r="F119" s="2"/>
      <c r="G119" s="2">
        <v>5.7287232797585776</v>
      </c>
      <c r="H119" s="2">
        <v>6.1786944072948149</v>
      </c>
      <c r="I119" s="2">
        <v>1.7336277008677101</v>
      </c>
      <c r="K119" s="2">
        <v>5.7296483085357721</v>
      </c>
      <c r="L119" s="2">
        <v>6.1781338230471681</v>
      </c>
      <c r="M119" s="2">
        <v>1.7325682454130806</v>
      </c>
    </row>
    <row r="120" spans="1:13">
      <c r="A120" s="65">
        <v>8</v>
      </c>
      <c r="B120" s="65">
        <v>7</v>
      </c>
      <c r="C120" s="5">
        <f t="shared" si="41"/>
        <v>7.5</v>
      </c>
      <c r="D120" s="5">
        <f t="shared" si="42"/>
        <v>7.5</v>
      </c>
      <c r="E120" s="5">
        <f t="shared" si="43"/>
        <v>0.70710678118654757</v>
      </c>
      <c r="F120" s="2"/>
      <c r="G120" s="2">
        <v>7.1881360557254599</v>
      </c>
      <c r="H120" s="2">
        <v>7.7527389398108246</v>
      </c>
      <c r="I120" s="2">
        <v>1.1071309658394248</v>
      </c>
      <c r="K120" s="2">
        <v>7.1892054119483744</v>
      </c>
      <c r="L120" s="2">
        <v>7.7519370691955443</v>
      </c>
      <c r="M120" s="2">
        <v>1.1058016187563617</v>
      </c>
    </row>
    <row r="121" spans="1:13">
      <c r="A121" s="65">
        <v>9</v>
      </c>
      <c r="B121" s="65">
        <v>11</v>
      </c>
      <c r="C121" s="5">
        <f t="shared" si="41"/>
        <v>10</v>
      </c>
      <c r="D121" s="5">
        <f t="shared" si="42"/>
        <v>10</v>
      </c>
      <c r="E121" s="5">
        <f t="shared" si="43"/>
        <v>1.4142135623730951</v>
      </c>
      <c r="F121" s="2"/>
      <c r="G121" s="2">
        <v>9.64469686547225</v>
      </c>
      <c r="H121" s="2">
        <v>10.402253987952889</v>
      </c>
      <c r="I121" s="2">
        <v>0.87916684609234963</v>
      </c>
      <c r="K121" s="2">
        <v>9.6459294965504121</v>
      </c>
      <c r="L121" s="2">
        <v>10.400960070897584</v>
      </c>
      <c r="M121" s="2">
        <v>0.88095048168038148</v>
      </c>
    </row>
    <row r="122" spans="1:13">
      <c r="A122" s="66">
        <v>10</v>
      </c>
      <c r="B122" s="66">
        <v>9</v>
      </c>
      <c r="C122" s="5">
        <f t="shared" si="41"/>
        <v>9.5</v>
      </c>
      <c r="D122" s="5">
        <f t="shared" si="42"/>
        <v>9.5</v>
      </c>
      <c r="E122" s="5">
        <f t="shared" si="43"/>
        <v>0.70710678118654757</v>
      </c>
      <c r="F122" s="2"/>
      <c r="G122" s="2">
        <v>9.1098135738793111</v>
      </c>
      <c r="H122" s="2">
        <v>9.8253574892167848</v>
      </c>
      <c r="I122" s="2">
        <v>1.2139385726863448</v>
      </c>
      <c r="K122" s="2">
        <v>9.1111526375841478</v>
      </c>
      <c r="L122" s="2">
        <v>9.8243238059386382</v>
      </c>
      <c r="M122" s="2">
        <v>1.2122538392229487</v>
      </c>
    </row>
    <row r="123" spans="1:13">
      <c r="C123" s="5"/>
      <c r="D123" s="5"/>
      <c r="E123" s="5"/>
      <c r="F123" s="2"/>
      <c r="G123" s="2"/>
      <c r="H123" s="2"/>
      <c r="I123" s="2"/>
      <c r="K123" s="2"/>
      <c r="L123" s="2"/>
      <c r="M123" s="2"/>
    </row>
    <row r="124" spans="1:13">
      <c r="C124" s="5"/>
      <c r="D124" s="5"/>
      <c r="E124" s="5">
        <f>AVERAGE(E113:E122)</f>
        <v>1.1313708498984762</v>
      </c>
      <c r="F124" s="2"/>
      <c r="G124" s="2"/>
      <c r="H124" s="2"/>
      <c r="I124" s="2">
        <v>1.135904284603906</v>
      </c>
      <c r="K124" s="2"/>
      <c r="L124" s="2"/>
      <c r="M124" s="2">
        <v>1.0326289802127129</v>
      </c>
    </row>
    <row r="125" spans="1:13">
      <c r="C125" s="1"/>
      <c r="D125" s="1"/>
      <c r="E125" s="5">
        <f>STDEVP(E113:E122)</f>
        <v>0.56568542494923757</v>
      </c>
      <c r="I125" s="2">
        <v>0.45206771225400966</v>
      </c>
      <c r="K125" s="2"/>
      <c r="L125" s="2"/>
      <c r="M125" s="2">
        <v>0.54075871421741406</v>
      </c>
    </row>
    <row r="127" spans="1:13">
      <c r="C127" s="2" t="s">
        <v>977</v>
      </c>
    </row>
    <row r="128" spans="1:13">
      <c r="C128" s="14" t="s">
        <v>975</v>
      </c>
    </row>
    <row r="130" spans="1:1">
      <c r="A130" s="14" t="s">
        <v>980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46"/>
  <sheetViews>
    <sheetView workbookViewId="0"/>
  </sheetViews>
  <sheetFormatPr defaultRowHeight="14.4"/>
  <sheetData>
    <row r="1" spans="1:6">
      <c r="A1" s="4" t="s">
        <v>570</v>
      </c>
      <c r="D1" s="2" t="s">
        <v>642</v>
      </c>
    </row>
    <row r="3" spans="1:6">
      <c r="A3" s="140" t="s">
        <v>609</v>
      </c>
      <c r="B3" s="2" t="s">
        <v>610</v>
      </c>
    </row>
    <row r="4" spans="1:6">
      <c r="A4" s="141" t="s">
        <v>612</v>
      </c>
      <c r="B4" s="2" t="s">
        <v>607</v>
      </c>
    </row>
    <row r="5" spans="1:6">
      <c r="A5" s="140" t="s">
        <v>611</v>
      </c>
      <c r="B5" s="2" t="s">
        <v>608</v>
      </c>
    </row>
    <row r="6" spans="1:6">
      <c r="A6" s="139"/>
    </row>
    <row r="7" spans="1:6">
      <c r="A7" s="140" t="s">
        <v>615</v>
      </c>
      <c r="B7" s="2" t="s">
        <v>616</v>
      </c>
    </row>
    <row r="8" spans="1:6">
      <c r="A8" s="141" t="s">
        <v>613</v>
      </c>
      <c r="B8" s="2" t="s">
        <v>614</v>
      </c>
    </row>
    <row r="9" spans="1:6">
      <c r="A9" s="143"/>
      <c r="B9" s="142"/>
    </row>
    <row r="10" spans="1:6">
      <c r="A10" s="140" t="s">
        <v>569</v>
      </c>
      <c r="B10" s="2" t="s">
        <v>577</v>
      </c>
      <c r="E10" s="2" t="s">
        <v>648</v>
      </c>
      <c r="F10" s="2"/>
    </row>
    <row r="11" spans="1:6" s="142" customFormat="1">
      <c r="A11" s="51"/>
      <c r="B11" s="52"/>
      <c r="E11" s="52"/>
      <c r="F11" s="52"/>
    </row>
    <row r="12" spans="1:6" s="142" customFormat="1">
      <c r="A12" s="140" t="s">
        <v>596</v>
      </c>
      <c r="B12" s="2" t="s">
        <v>601</v>
      </c>
      <c r="E12" s="52" t="s">
        <v>649</v>
      </c>
      <c r="F12" s="52"/>
    </row>
    <row r="13" spans="1:6">
      <c r="A13" s="51"/>
      <c r="B13" s="52"/>
      <c r="E13" s="2"/>
      <c r="F13" s="2"/>
    </row>
    <row r="14" spans="1:6">
      <c r="A14" s="140" t="s">
        <v>582</v>
      </c>
      <c r="B14" s="2" t="s">
        <v>583</v>
      </c>
      <c r="E14" s="2"/>
      <c r="F14" s="2"/>
    </row>
    <row r="15" spans="1:6">
      <c r="A15" s="141" t="s">
        <v>584</v>
      </c>
      <c r="B15" s="2" t="s">
        <v>595</v>
      </c>
    </row>
    <row r="16" spans="1:6">
      <c r="A16" s="53"/>
      <c r="B16" s="52"/>
    </row>
    <row r="17" spans="1:4">
      <c r="A17" s="140" t="s">
        <v>580</v>
      </c>
      <c r="B17" s="2" t="s">
        <v>581</v>
      </c>
    </row>
    <row r="18" spans="1:4">
      <c r="A18" s="141" t="s">
        <v>599</v>
      </c>
      <c r="B18" s="2" t="s">
        <v>600</v>
      </c>
    </row>
    <row r="19" spans="1:4">
      <c r="A19" s="140" t="s">
        <v>597</v>
      </c>
      <c r="B19" s="2" t="s">
        <v>598</v>
      </c>
    </row>
    <row r="20" spans="1:4">
      <c r="A20" s="53"/>
      <c r="B20" s="52"/>
    </row>
    <row r="21" spans="1:4">
      <c r="A21" s="140" t="s">
        <v>586</v>
      </c>
      <c r="B21" s="2" t="s">
        <v>587</v>
      </c>
    </row>
    <row r="22" spans="1:4">
      <c r="A22" s="141" t="s">
        <v>585</v>
      </c>
      <c r="B22" s="2" t="s">
        <v>594</v>
      </c>
    </row>
    <row r="23" spans="1:4">
      <c r="A23" s="140" t="s">
        <v>591</v>
      </c>
      <c r="B23" s="2" t="s">
        <v>590</v>
      </c>
    </row>
    <row r="24" spans="1:4">
      <c r="A24" s="141" t="s">
        <v>588</v>
      </c>
      <c r="B24" s="2" t="s">
        <v>589</v>
      </c>
    </row>
    <row r="25" spans="1:4">
      <c r="A25" s="140" t="s">
        <v>593</v>
      </c>
      <c r="B25" s="2" t="s">
        <v>592</v>
      </c>
    </row>
    <row r="26" spans="1:4">
      <c r="A26" s="141" t="s">
        <v>603</v>
      </c>
      <c r="B26" s="2" t="s">
        <v>604</v>
      </c>
    </row>
    <row r="27" spans="1:4">
      <c r="A27" s="139"/>
      <c r="B27" s="2"/>
    </row>
    <row r="28" spans="1:4">
      <c r="A28" s="140" t="s">
        <v>567</v>
      </c>
      <c r="B28" s="2" t="s">
        <v>683</v>
      </c>
    </row>
    <row r="29" spans="1:4">
      <c r="B29" s="2"/>
      <c r="D29" s="2" t="s">
        <v>578</v>
      </c>
    </row>
    <row r="30" spans="1:4">
      <c r="B30" s="2"/>
      <c r="D30" s="2" t="s">
        <v>579</v>
      </c>
    </row>
    <row r="31" spans="1:4">
      <c r="B31" s="2"/>
      <c r="D31" s="2"/>
    </row>
    <row r="32" spans="1:4">
      <c r="A32" s="140" t="s">
        <v>568</v>
      </c>
      <c r="B32" s="2" t="s">
        <v>684</v>
      </c>
    </row>
    <row r="34" spans="1:8">
      <c r="A34" s="141" t="s">
        <v>685</v>
      </c>
      <c r="B34" s="2" t="s">
        <v>687</v>
      </c>
      <c r="H34" s="2" t="s">
        <v>686</v>
      </c>
    </row>
    <row r="35" spans="1:8" s="142" customFormat="1">
      <c r="A35" s="53"/>
      <c r="B35" s="52"/>
    </row>
    <row r="36" spans="1:8" ht="18">
      <c r="A36" s="168"/>
    </row>
    <row r="37" spans="1:8">
      <c r="A37" s="2" t="s">
        <v>571</v>
      </c>
      <c r="B37" s="2"/>
      <c r="C37" s="2"/>
      <c r="D37" s="2"/>
    </row>
    <row r="38" spans="1:8">
      <c r="B38" s="2"/>
      <c r="C38" s="2"/>
      <c r="D38" s="2"/>
      <c r="E38" s="2"/>
    </row>
    <row r="39" spans="1:8">
      <c r="A39" s="2" t="s">
        <v>606</v>
      </c>
      <c r="B39" s="2"/>
      <c r="C39" s="2"/>
      <c r="D39" s="2"/>
    </row>
    <row r="40" spans="1:8">
      <c r="B40" s="2"/>
      <c r="C40" s="2"/>
      <c r="D40" s="2"/>
      <c r="E40" s="2"/>
    </row>
    <row r="41" spans="1:8">
      <c r="A41" s="2" t="s">
        <v>572</v>
      </c>
      <c r="B41" s="2"/>
      <c r="C41" s="2"/>
      <c r="E41" s="2"/>
    </row>
    <row r="42" spans="1:8">
      <c r="A42" s="2" t="s">
        <v>573</v>
      </c>
      <c r="B42" s="2"/>
      <c r="C42" s="2"/>
      <c r="D42" s="2" t="s">
        <v>575</v>
      </c>
      <c r="E42" s="2"/>
    </row>
    <row r="43" spans="1:8">
      <c r="A43" s="2" t="s">
        <v>574</v>
      </c>
    </row>
    <row r="44" spans="1:8">
      <c r="A44" s="2" t="s">
        <v>602</v>
      </c>
    </row>
    <row r="46" spans="1:8">
      <c r="A46" s="2" t="s">
        <v>576</v>
      </c>
    </row>
  </sheetData>
  <hyperlinks>
    <hyperlink ref="A10" r:id="rId1"/>
    <hyperlink ref="A28" r:id="rId2"/>
    <hyperlink ref="A32" r:id="rId3"/>
    <hyperlink ref="A14" r:id="rId4"/>
    <hyperlink ref="A15" r:id="rId5"/>
    <hyperlink ref="A22" r:id="rId6"/>
    <hyperlink ref="A21" r:id="rId7"/>
    <hyperlink ref="A23" r:id="rId8"/>
    <hyperlink ref="A24" r:id="rId9"/>
    <hyperlink ref="A25" r:id="rId10"/>
    <hyperlink ref="A12" r:id="rId11"/>
    <hyperlink ref="A18" r:id="rId12"/>
    <hyperlink ref="A19" r:id="rId13"/>
    <hyperlink ref="A17" r:id="rId14" location="Afmeting"/>
    <hyperlink ref="A26" r:id="rId15"/>
    <hyperlink ref="A3" r:id="rId16"/>
    <hyperlink ref="A4" r:id="rId17"/>
    <hyperlink ref="A5" r:id="rId18"/>
    <hyperlink ref="A7" r:id="rId19"/>
    <hyperlink ref="A8" r:id="rId20" location="Measurements"/>
    <hyperlink ref="A34" r:id="rId21"/>
  </hyperlinks>
  <pageMargins left="0.7" right="0.7" top="0.75" bottom="0.75" header="0.3" footer="0.3"/>
  <pageSetup paperSize="9" orientation="portrait" verticalDpi="0" r:id="rId22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181"/>
  <sheetViews>
    <sheetView workbookViewId="0">
      <selection activeCell="R99" sqref="R99"/>
    </sheetView>
  </sheetViews>
  <sheetFormatPr defaultRowHeight="14.4"/>
  <sheetData>
    <row r="1" spans="1:33">
      <c r="A1" s="4" t="s">
        <v>0</v>
      </c>
      <c r="B1" s="4"/>
      <c r="C1" s="4"/>
      <c r="D1" s="4"/>
      <c r="AD1" t="s">
        <v>1</v>
      </c>
      <c r="AF1">
        <v>2</v>
      </c>
      <c r="AG1">
        <v>-4</v>
      </c>
    </row>
    <row r="2" spans="1:33">
      <c r="A2" s="2"/>
      <c r="B2" s="2"/>
      <c r="C2" s="2"/>
      <c r="S2" s="1" t="s">
        <v>1</v>
      </c>
      <c r="T2" s="1" t="s">
        <v>2</v>
      </c>
      <c r="AD2" t="s">
        <v>2</v>
      </c>
      <c r="AF2">
        <v>17</v>
      </c>
      <c r="AG2">
        <v>30</v>
      </c>
    </row>
    <row r="3" spans="1:33">
      <c r="A3" s="4" t="s">
        <v>71</v>
      </c>
      <c r="B3" s="2"/>
      <c r="C3" s="2" t="s">
        <v>86</v>
      </c>
      <c r="E3" s="2" t="s">
        <v>72</v>
      </c>
      <c r="F3" s="2"/>
      <c r="G3" s="2" t="s">
        <v>46</v>
      </c>
      <c r="S3" s="1"/>
      <c r="T3" s="1"/>
      <c r="U3" s="1">
        <v>-10</v>
      </c>
      <c r="V3" s="1">
        <v>-8</v>
      </c>
      <c r="W3" s="1">
        <v>-5</v>
      </c>
      <c r="X3" s="1">
        <v>-2</v>
      </c>
      <c r="Y3" s="1">
        <v>1</v>
      </c>
      <c r="Z3" s="1">
        <v>5</v>
      </c>
      <c r="AA3" s="1">
        <v>7</v>
      </c>
      <c r="AB3" s="1">
        <v>10</v>
      </c>
      <c r="AC3">
        <f>SUM(U3:AB3)/8</f>
        <v>-0.25</v>
      </c>
      <c r="AD3" t="s">
        <v>3</v>
      </c>
      <c r="AF3">
        <v>32</v>
      </c>
      <c r="AG3">
        <v>5</v>
      </c>
    </row>
    <row r="4" spans="1:33">
      <c r="A4" s="2" t="s">
        <v>85</v>
      </c>
      <c r="B4" s="2"/>
      <c r="C4" s="2"/>
      <c r="E4" s="2" t="s">
        <v>73</v>
      </c>
      <c r="F4" s="2"/>
      <c r="G4" s="2" t="s">
        <v>74</v>
      </c>
      <c r="S4" s="1">
        <v>1</v>
      </c>
      <c r="T4" s="1">
        <v>1.5</v>
      </c>
      <c r="U4" s="1">
        <f>$S4*U$3+$T4</f>
        <v>-8.5</v>
      </c>
      <c r="V4" s="1">
        <f t="shared" ref="V4:AB4" si="0">$S4*V$3+$T4</f>
        <v>-6.5</v>
      </c>
      <c r="W4" s="1">
        <f t="shared" si="0"/>
        <v>-3.5</v>
      </c>
      <c r="X4" s="1">
        <f>$S4*X$3+$T4</f>
        <v>-0.5</v>
      </c>
      <c r="Y4" s="1">
        <f t="shared" si="0"/>
        <v>2.5</v>
      </c>
      <c r="Z4" s="1">
        <f t="shared" si="0"/>
        <v>6.5</v>
      </c>
      <c r="AA4" s="1">
        <f t="shared" si="0"/>
        <v>8.5</v>
      </c>
      <c r="AB4" s="1">
        <f t="shared" si="0"/>
        <v>11.5</v>
      </c>
      <c r="AF4" t="s">
        <v>4</v>
      </c>
    </row>
    <row r="5" spans="1:33">
      <c r="A5" s="2"/>
      <c r="B5" s="2"/>
      <c r="C5" s="2"/>
      <c r="S5" s="1"/>
      <c r="T5" s="1"/>
      <c r="U5" s="1"/>
      <c r="V5" s="1"/>
      <c r="W5" s="1"/>
      <c r="X5" s="1"/>
      <c r="Y5" s="1"/>
      <c r="Z5" s="1"/>
      <c r="AA5" s="1"/>
      <c r="AB5" s="1"/>
      <c r="AE5">
        <v>-20</v>
      </c>
      <c r="AF5" s="1">
        <f t="shared" ref="AF5:AF20" si="1">$AF$1*AE5^2+$AF$2*AE5+$AF$3</f>
        <v>492</v>
      </c>
      <c r="AG5" s="1">
        <f t="shared" ref="AG5:AG20" si="2">$AG$1*AE5^2+$AG$2*AE5+$AG$3</f>
        <v>-2195</v>
      </c>
    </row>
    <row r="6" spans="1:33">
      <c r="A6" s="2"/>
      <c r="B6" s="2"/>
      <c r="C6" s="2"/>
      <c r="S6" s="1">
        <v>1.2</v>
      </c>
      <c r="T6" s="1">
        <v>7</v>
      </c>
      <c r="U6" s="1">
        <f t="shared" ref="U6:AB7" si="3">$S6*U$3+$T6</f>
        <v>-5</v>
      </c>
      <c r="V6" s="1">
        <f t="shared" si="3"/>
        <v>-2.5999999999999996</v>
      </c>
      <c r="W6" s="1">
        <f t="shared" si="3"/>
        <v>1</v>
      </c>
      <c r="X6" s="1">
        <f t="shared" si="3"/>
        <v>4.5999999999999996</v>
      </c>
      <c r="Y6" s="1">
        <f t="shared" si="3"/>
        <v>8.1999999999999993</v>
      </c>
      <c r="Z6" s="1">
        <f t="shared" si="3"/>
        <v>13</v>
      </c>
      <c r="AA6" s="1">
        <f t="shared" si="3"/>
        <v>15.4</v>
      </c>
      <c r="AB6" s="1">
        <f t="shared" si="3"/>
        <v>19</v>
      </c>
      <c r="AE6">
        <f>AE5+1</f>
        <v>-19</v>
      </c>
      <c r="AF6" s="1">
        <f t="shared" si="1"/>
        <v>431</v>
      </c>
      <c r="AG6" s="1">
        <f t="shared" si="2"/>
        <v>-2009</v>
      </c>
    </row>
    <row r="7" spans="1:33">
      <c r="A7" s="2"/>
      <c r="B7" s="2"/>
      <c r="C7" s="2"/>
      <c r="S7" s="1">
        <v>0.7</v>
      </c>
      <c r="T7" s="1">
        <v>-4.5</v>
      </c>
      <c r="U7" s="1">
        <f t="shared" si="3"/>
        <v>-11.5</v>
      </c>
      <c r="V7" s="1">
        <f t="shared" si="3"/>
        <v>-10.1</v>
      </c>
      <c r="W7" s="1">
        <f t="shared" si="3"/>
        <v>-8</v>
      </c>
      <c r="X7" s="1">
        <f t="shared" si="3"/>
        <v>-5.9</v>
      </c>
      <c r="Y7" s="1">
        <f t="shared" si="3"/>
        <v>-3.8</v>
      </c>
      <c r="Z7" s="1">
        <f t="shared" si="3"/>
        <v>-1</v>
      </c>
      <c r="AA7" s="1">
        <f t="shared" si="3"/>
        <v>0.39999999999999947</v>
      </c>
      <c r="AB7" s="1">
        <f t="shared" si="3"/>
        <v>2.5</v>
      </c>
      <c r="AE7">
        <f t="shared" ref="AE7:AE20" si="4">AE6+1</f>
        <v>-18</v>
      </c>
      <c r="AF7" s="1">
        <f t="shared" si="1"/>
        <v>374</v>
      </c>
      <c r="AG7" s="1">
        <f t="shared" si="2"/>
        <v>-1831</v>
      </c>
    </row>
    <row r="8" spans="1:33">
      <c r="A8" s="2"/>
      <c r="B8" s="2"/>
      <c r="C8" s="2"/>
      <c r="U8" s="1">
        <v>-9.5</v>
      </c>
      <c r="V8" s="1">
        <v>-11</v>
      </c>
      <c r="W8" s="1">
        <v>-9</v>
      </c>
      <c r="X8" s="1">
        <v>-4.5</v>
      </c>
      <c r="Y8" s="1">
        <v>-5</v>
      </c>
      <c r="Z8" s="1">
        <v>1</v>
      </c>
      <c r="AA8" s="1">
        <v>-0.5</v>
      </c>
      <c r="AB8" s="1">
        <v>3.5</v>
      </c>
      <c r="AC8">
        <f>SUM(U8:AB8)/8</f>
        <v>-4.375</v>
      </c>
      <c r="AE8">
        <f t="shared" si="4"/>
        <v>-17</v>
      </c>
      <c r="AF8" s="1">
        <f t="shared" si="1"/>
        <v>321</v>
      </c>
      <c r="AG8" s="1">
        <f t="shared" si="2"/>
        <v>-1661</v>
      </c>
    </row>
    <row r="9" spans="1:33">
      <c r="A9" s="2"/>
      <c r="B9" s="2"/>
      <c r="C9" s="2"/>
      <c r="AE9">
        <f t="shared" si="4"/>
        <v>-16</v>
      </c>
      <c r="AF9" s="1">
        <f t="shared" si="1"/>
        <v>272</v>
      </c>
      <c r="AG9" s="1">
        <f t="shared" si="2"/>
        <v>-1499</v>
      </c>
    </row>
    <row r="10" spans="1:33">
      <c r="A10" s="2"/>
      <c r="B10" s="2"/>
      <c r="C10" s="2"/>
      <c r="AC10">
        <f>AC8/AC3</f>
        <v>17.5</v>
      </c>
      <c r="AE10">
        <f t="shared" si="4"/>
        <v>-15</v>
      </c>
      <c r="AF10" s="1">
        <f t="shared" si="1"/>
        <v>227</v>
      </c>
      <c r="AG10" s="1">
        <f t="shared" si="2"/>
        <v>-1345</v>
      </c>
    </row>
    <row r="11" spans="1:33">
      <c r="A11" s="2"/>
      <c r="B11" s="2"/>
      <c r="C11" s="2"/>
      <c r="AE11">
        <f t="shared" si="4"/>
        <v>-14</v>
      </c>
      <c r="AF11" s="1">
        <f t="shared" si="1"/>
        <v>186</v>
      </c>
      <c r="AG11" s="1">
        <f t="shared" si="2"/>
        <v>-1199</v>
      </c>
    </row>
    <row r="12" spans="1:33">
      <c r="A12" s="2"/>
      <c r="B12" s="2"/>
      <c r="C12" s="2"/>
      <c r="AE12">
        <f t="shared" si="4"/>
        <v>-13</v>
      </c>
      <c r="AF12" s="1">
        <f t="shared" si="1"/>
        <v>149</v>
      </c>
      <c r="AG12" s="1">
        <f t="shared" si="2"/>
        <v>-1061</v>
      </c>
    </row>
    <row r="13" spans="1:33">
      <c r="A13" s="2"/>
      <c r="B13" s="2"/>
      <c r="C13" s="2"/>
      <c r="L13" s="18"/>
      <c r="AE13">
        <f t="shared" si="4"/>
        <v>-12</v>
      </c>
      <c r="AF13" s="1">
        <f t="shared" si="1"/>
        <v>116</v>
      </c>
      <c r="AG13" s="1">
        <f t="shared" si="2"/>
        <v>-931</v>
      </c>
    </row>
    <row r="14" spans="1:33">
      <c r="A14" s="2"/>
      <c r="B14" s="2"/>
      <c r="C14" s="2"/>
      <c r="AE14">
        <f t="shared" si="4"/>
        <v>-11</v>
      </c>
      <c r="AF14" s="1">
        <f t="shared" si="1"/>
        <v>87</v>
      </c>
      <c r="AG14" s="1">
        <f t="shared" si="2"/>
        <v>-809</v>
      </c>
    </row>
    <row r="15" spans="1:33">
      <c r="A15" s="2"/>
      <c r="B15" s="2"/>
      <c r="C15" s="2"/>
      <c r="AE15">
        <f t="shared" si="4"/>
        <v>-10</v>
      </c>
      <c r="AF15" s="1">
        <f t="shared" si="1"/>
        <v>62</v>
      </c>
      <c r="AG15" s="1">
        <f t="shared" si="2"/>
        <v>-695</v>
      </c>
    </row>
    <row r="16" spans="1:33">
      <c r="A16" s="2"/>
      <c r="B16" s="2"/>
      <c r="C16" s="2"/>
      <c r="AE16">
        <f t="shared" si="4"/>
        <v>-9</v>
      </c>
      <c r="AF16" s="1">
        <f t="shared" si="1"/>
        <v>41</v>
      </c>
      <c r="AG16" s="1">
        <f t="shared" si="2"/>
        <v>-589</v>
      </c>
    </row>
    <row r="17" spans="1:33">
      <c r="A17" s="2"/>
      <c r="B17" s="2"/>
      <c r="C17" s="2"/>
      <c r="AE17">
        <f t="shared" si="4"/>
        <v>-8</v>
      </c>
      <c r="AF17" s="1">
        <f t="shared" si="1"/>
        <v>24</v>
      </c>
      <c r="AG17" s="1">
        <f t="shared" si="2"/>
        <v>-491</v>
      </c>
    </row>
    <row r="18" spans="1:33">
      <c r="A18" s="2"/>
      <c r="B18" s="2"/>
      <c r="C18" s="2"/>
      <c r="AE18">
        <f t="shared" si="4"/>
        <v>-7</v>
      </c>
      <c r="AF18" s="1">
        <f t="shared" si="1"/>
        <v>11</v>
      </c>
      <c r="AG18" s="1">
        <f t="shared" si="2"/>
        <v>-401</v>
      </c>
    </row>
    <row r="19" spans="1:33">
      <c r="A19" s="2"/>
      <c r="B19" s="2"/>
      <c r="C19" s="2"/>
      <c r="AE19">
        <f t="shared" si="4"/>
        <v>-6</v>
      </c>
      <c r="AF19" s="1">
        <f t="shared" si="1"/>
        <v>2</v>
      </c>
      <c r="AG19" s="1">
        <f t="shared" si="2"/>
        <v>-319</v>
      </c>
    </row>
    <row r="20" spans="1:33">
      <c r="A20" s="17" t="s">
        <v>772</v>
      </c>
      <c r="B20" s="17"/>
      <c r="C20" s="17"/>
      <c r="D20" s="18"/>
      <c r="E20" s="18"/>
      <c r="F20" s="18"/>
      <c r="G20" s="18"/>
      <c r="H20" s="18"/>
      <c r="AE20">
        <f t="shared" si="4"/>
        <v>-5</v>
      </c>
      <c r="AF20" s="1">
        <f t="shared" si="1"/>
        <v>-3</v>
      </c>
      <c r="AG20" s="1">
        <f t="shared" si="2"/>
        <v>-245</v>
      </c>
    </row>
    <row r="21" spans="1:33">
      <c r="A21" s="17" t="s">
        <v>773</v>
      </c>
      <c r="B21" s="17"/>
      <c r="C21" s="17"/>
      <c r="D21" s="18"/>
      <c r="E21" s="18"/>
      <c r="F21" s="18"/>
      <c r="G21" s="18"/>
      <c r="H21" s="18"/>
      <c r="AE21">
        <f t="shared" ref="AE21:AE23" si="5">AE20+1</f>
        <v>-4</v>
      </c>
      <c r="AF21" s="1">
        <f t="shared" ref="AF21:AF23" si="6">$AF$1*AE21^2+$AF$2*AE21+$AF$3</f>
        <v>-4</v>
      </c>
      <c r="AG21" s="1">
        <f t="shared" ref="AG21:AG23" si="7">$AG$1*AE21^2+$AG$2*AE21+$AG$3</f>
        <v>-179</v>
      </c>
    </row>
    <row r="22" spans="1:33">
      <c r="A22" s="20" t="s">
        <v>90</v>
      </c>
      <c r="B22" s="2"/>
      <c r="C22" s="2"/>
      <c r="AE22">
        <f t="shared" si="5"/>
        <v>-3</v>
      </c>
      <c r="AF22" s="1">
        <f t="shared" si="6"/>
        <v>-1</v>
      </c>
      <c r="AG22" s="1">
        <f t="shared" si="7"/>
        <v>-121</v>
      </c>
    </row>
    <row r="23" spans="1:33">
      <c r="A23" s="14" t="s">
        <v>546</v>
      </c>
      <c r="B23" s="14"/>
      <c r="C23" s="14"/>
      <c r="D23" s="91"/>
      <c r="E23" s="91"/>
      <c r="F23" s="91"/>
      <c r="G23" s="91"/>
      <c r="H23" s="91"/>
      <c r="I23" s="91"/>
      <c r="AE23">
        <f t="shared" si="5"/>
        <v>-2</v>
      </c>
      <c r="AF23" s="1">
        <f t="shared" si="6"/>
        <v>6</v>
      </c>
      <c r="AG23" s="1">
        <f t="shared" si="7"/>
        <v>-71</v>
      </c>
    </row>
    <row r="24" spans="1:33">
      <c r="B24" s="14"/>
      <c r="C24" s="14"/>
      <c r="D24" s="91"/>
      <c r="E24" s="91"/>
      <c r="F24" s="91"/>
      <c r="G24" s="91"/>
      <c r="H24" s="91"/>
      <c r="I24" s="91"/>
      <c r="AE24">
        <f t="shared" ref="AE24" si="8">AE23+1</f>
        <v>-1</v>
      </c>
      <c r="AF24" s="1">
        <f t="shared" ref="AF24" si="9">$AF$1*AE24^2+$AF$2*AE24+$AF$3</f>
        <v>17</v>
      </c>
      <c r="AG24" s="1">
        <f t="shared" ref="AG24" si="10">$AG$1*AE24^2+$AG$2*AE24+$AG$3</f>
        <v>-29</v>
      </c>
    </row>
    <row r="25" spans="1:33">
      <c r="A25" s="2" t="s">
        <v>658</v>
      </c>
      <c r="B25" s="14"/>
      <c r="C25" s="14"/>
      <c r="D25" s="91"/>
      <c r="E25" s="91"/>
      <c r="F25" s="91"/>
      <c r="G25" s="91"/>
      <c r="H25" s="91"/>
      <c r="I25" s="91"/>
      <c r="AE25">
        <f>AE24+1</f>
        <v>0</v>
      </c>
      <c r="AF25" s="1">
        <f>$AF$1*AE25^2+$AF$2*AE25+$AF$3</f>
        <v>32</v>
      </c>
      <c r="AG25" s="1">
        <f>$AG$1*AE25^2+$AG$2*AE25+$AG$3</f>
        <v>5</v>
      </c>
    </row>
    <row r="26" spans="1:33">
      <c r="A26" s="2" t="s">
        <v>695</v>
      </c>
      <c r="B26" s="14"/>
      <c r="C26" s="14"/>
      <c r="D26" s="91"/>
      <c r="E26" s="91"/>
      <c r="F26" s="91"/>
      <c r="G26" s="91"/>
      <c r="H26" s="91"/>
      <c r="I26" s="91"/>
      <c r="AE26">
        <f t="shared" ref="AE26:AE27" si="11">AE25+1</f>
        <v>1</v>
      </c>
      <c r="AF26" s="1">
        <f t="shared" ref="AF26:AF27" si="12">$AF$1*AE26^2+$AF$2*AE26+$AF$3</f>
        <v>51</v>
      </c>
      <c r="AG26" s="1">
        <f t="shared" ref="AG26:AG27" si="13">$AG$1*AE26^2+$AG$2*AE26+$AG$3</f>
        <v>31</v>
      </c>
    </row>
    <row r="27" spans="1:33">
      <c r="A27" s="2" t="s">
        <v>696</v>
      </c>
      <c r="B27" s="14"/>
      <c r="C27" s="14"/>
      <c r="D27" s="91"/>
      <c r="E27" s="91"/>
      <c r="F27" s="91"/>
      <c r="G27" s="91"/>
      <c r="H27" s="91"/>
      <c r="I27" s="91"/>
      <c r="AE27">
        <f t="shared" si="11"/>
        <v>2</v>
      </c>
      <c r="AF27" s="1">
        <f t="shared" si="12"/>
        <v>74</v>
      </c>
      <c r="AG27" s="1">
        <f t="shared" si="13"/>
        <v>49</v>
      </c>
    </row>
    <row r="28" spans="1:33">
      <c r="A28" s="2" t="s">
        <v>812</v>
      </c>
      <c r="B28" s="14"/>
      <c r="C28" s="14"/>
      <c r="D28" s="91"/>
      <c r="E28" s="91"/>
      <c r="F28" s="91"/>
      <c r="G28" s="91"/>
      <c r="H28" s="91"/>
      <c r="I28" s="91"/>
      <c r="AE28">
        <f>AE27+1</f>
        <v>3</v>
      </c>
      <c r="AF28" s="1">
        <f t="shared" ref="AF28:AF33" si="14">$AF$1*AE28^2+$AF$2*AE28+$AF$3</f>
        <v>101</v>
      </c>
      <c r="AG28" s="1">
        <f t="shared" ref="AG28:AG33" si="15">$AG$1*AE28^2+$AG$2*AE28+$AG$3</f>
        <v>59</v>
      </c>
    </row>
    <row r="29" spans="1:33">
      <c r="A29" s="14"/>
      <c r="B29" s="14"/>
      <c r="C29" s="14"/>
      <c r="D29" s="91"/>
      <c r="E29" s="91"/>
      <c r="F29" s="91"/>
      <c r="G29" s="91"/>
      <c r="H29" s="91"/>
      <c r="I29" s="91"/>
      <c r="AE29">
        <f>AE28+1</f>
        <v>4</v>
      </c>
      <c r="AF29" s="1">
        <f t="shared" si="14"/>
        <v>132</v>
      </c>
      <c r="AG29" s="1">
        <f t="shared" si="15"/>
        <v>61</v>
      </c>
    </row>
    <row r="30" spans="1:33">
      <c r="A30" s="2" t="s">
        <v>780</v>
      </c>
      <c r="B30" s="14"/>
      <c r="C30" s="14"/>
      <c r="D30" s="91"/>
      <c r="E30" s="91"/>
      <c r="F30" s="91"/>
      <c r="G30" s="91"/>
      <c r="H30" s="91"/>
      <c r="I30" s="91"/>
      <c r="AE30">
        <f t="shared" ref="AE30:AE32" si="16">AE29+1</f>
        <v>5</v>
      </c>
      <c r="AF30" s="1">
        <f t="shared" si="14"/>
        <v>167</v>
      </c>
      <c r="AG30" s="1">
        <f t="shared" si="15"/>
        <v>55</v>
      </c>
    </row>
    <row r="31" spans="1:33">
      <c r="A31" s="2" t="s">
        <v>814</v>
      </c>
      <c r="B31" s="14"/>
      <c r="C31" s="14"/>
      <c r="D31" s="91"/>
      <c r="E31" s="91"/>
      <c r="F31" s="91"/>
      <c r="G31" s="91"/>
      <c r="H31" s="91"/>
      <c r="I31" s="91"/>
      <c r="AE31">
        <f t="shared" si="16"/>
        <v>6</v>
      </c>
      <c r="AF31" s="1">
        <f t="shared" si="14"/>
        <v>206</v>
      </c>
      <c r="AG31" s="1">
        <f t="shared" si="15"/>
        <v>41</v>
      </c>
    </row>
    <row r="32" spans="1:33">
      <c r="A32" s="2" t="s">
        <v>781</v>
      </c>
      <c r="B32" s="14"/>
      <c r="C32" s="14"/>
      <c r="D32" s="91"/>
      <c r="E32" s="91"/>
      <c r="F32" s="91"/>
      <c r="G32" s="91"/>
      <c r="H32" s="91"/>
      <c r="I32" s="91"/>
      <c r="AE32">
        <f t="shared" si="16"/>
        <v>7</v>
      </c>
      <c r="AF32" s="1">
        <f t="shared" si="14"/>
        <v>249</v>
      </c>
      <c r="AG32" s="1">
        <f t="shared" si="15"/>
        <v>19</v>
      </c>
    </row>
    <row r="33" spans="1:33">
      <c r="I33" s="91"/>
      <c r="AE33">
        <f>AE32+1</f>
        <v>8</v>
      </c>
      <c r="AF33" s="1">
        <f t="shared" si="14"/>
        <v>296</v>
      </c>
      <c r="AG33" s="1">
        <f t="shared" si="15"/>
        <v>-11</v>
      </c>
    </row>
    <row r="34" spans="1:33">
      <c r="A34" s="170" t="s">
        <v>981</v>
      </c>
      <c r="I34" s="91"/>
      <c r="AF34" s="1"/>
      <c r="AG34" s="1"/>
    </row>
    <row r="35" spans="1:33">
      <c r="A35" s="14" t="s">
        <v>982</v>
      </c>
      <c r="I35" s="91"/>
      <c r="AF35" s="1"/>
      <c r="AG35" s="1"/>
    </row>
    <row r="36" spans="1:33">
      <c r="A36" s="14" t="s">
        <v>983</v>
      </c>
      <c r="I36" s="91"/>
      <c r="AF36" s="1"/>
      <c r="AG36" s="1"/>
    </row>
    <row r="37" spans="1:33">
      <c r="A37" s="14" t="s">
        <v>984</v>
      </c>
      <c r="I37" s="91"/>
      <c r="AF37" s="1"/>
      <c r="AG37" s="1"/>
    </row>
    <row r="38" spans="1:33">
      <c r="A38" s="14" t="s">
        <v>985</v>
      </c>
      <c r="I38" s="91"/>
      <c r="AF38" s="1"/>
      <c r="AG38" s="1"/>
    </row>
    <row r="39" spans="1:33">
      <c r="A39" s="14"/>
      <c r="I39" s="91"/>
      <c r="AF39" s="1"/>
      <c r="AG39" s="1"/>
    </row>
    <row r="40" spans="1:33">
      <c r="A40" s="170" t="s">
        <v>717</v>
      </c>
      <c r="I40" s="91"/>
      <c r="AE40">
        <f>AE33+1</f>
        <v>9</v>
      </c>
      <c r="AF40" s="1">
        <f>$AF$1*AE40^2+$AF$2*AE40+$AF$3</f>
        <v>347</v>
      </c>
      <c r="AG40" s="1">
        <f>$AG$1*AE40^2+$AG$2*AE40+$AG$3</f>
        <v>-49</v>
      </c>
    </row>
    <row r="41" spans="1:33">
      <c r="A41" s="14" t="s">
        <v>845</v>
      </c>
      <c r="B41" s="14"/>
      <c r="C41" s="14"/>
      <c r="D41" s="91"/>
      <c r="E41" s="91"/>
      <c r="F41" s="91"/>
      <c r="G41" s="91"/>
      <c r="I41" s="91"/>
      <c r="AE41">
        <f>AE40+1</f>
        <v>10</v>
      </c>
      <c r="AF41" s="1">
        <f>$AF$1*AE41^2+$AF$2*AE41+$AF$3</f>
        <v>402</v>
      </c>
      <c r="AG41" s="1">
        <f>$AG$1*AE41^2+$AG$2*AE41+$AG$3</f>
        <v>-95</v>
      </c>
    </row>
    <row r="42" spans="1:33">
      <c r="A42" s="2"/>
      <c r="B42" s="14"/>
      <c r="C42" s="14"/>
      <c r="D42" s="91"/>
      <c r="E42" s="91"/>
      <c r="F42" s="91"/>
      <c r="G42" s="91"/>
      <c r="H42" s="91"/>
      <c r="I42" s="91"/>
      <c r="AE42">
        <f>AE41+1</f>
        <v>11</v>
      </c>
      <c r="AF42" s="1">
        <f t="shared" ref="AF42:AF43" si="17">$AF$1*AE42^2+$AF$2*AE42+$AF$3</f>
        <v>461</v>
      </c>
      <c r="AG42" s="1">
        <f t="shared" ref="AG42:AG43" si="18">$AG$1*AE42^2+$AG$2*AE42+$AG$3</f>
        <v>-149</v>
      </c>
    </row>
    <row r="43" spans="1:33" ht="16.2">
      <c r="A43" s="4" t="s">
        <v>75</v>
      </c>
      <c r="B43" s="2"/>
      <c r="C43" s="2"/>
      <c r="D43" s="2" t="s">
        <v>87</v>
      </c>
      <c r="F43" s="2" t="s">
        <v>88</v>
      </c>
      <c r="G43" s="2"/>
      <c r="H43" s="2"/>
      <c r="AE43">
        <f t="shared" ref="AE43" si="19">AE42+1</f>
        <v>12</v>
      </c>
      <c r="AF43" s="1">
        <f t="shared" si="17"/>
        <v>524</v>
      </c>
      <c r="AG43" s="1">
        <f t="shared" si="18"/>
        <v>-211</v>
      </c>
    </row>
    <row r="44" spans="1:33">
      <c r="A44" s="2" t="s">
        <v>91</v>
      </c>
      <c r="F44" s="2" t="s">
        <v>6</v>
      </c>
      <c r="G44" s="2"/>
      <c r="H44" s="2"/>
      <c r="AE44">
        <f t="shared" ref="AE44:AE52" si="20">AE43+1</f>
        <v>13</v>
      </c>
      <c r="AF44" s="1">
        <f t="shared" ref="AF44:AF52" si="21">$AF$1*AE44^2+$AF$2*AE44+$AF$3</f>
        <v>591</v>
      </c>
      <c r="AG44" s="1">
        <f t="shared" ref="AG44:AG52" si="22">$AG$1*AE44^2+$AG$2*AE44+$AG$3</f>
        <v>-281</v>
      </c>
    </row>
    <row r="45" spans="1:33">
      <c r="AE45">
        <f t="shared" si="20"/>
        <v>14</v>
      </c>
      <c r="AF45" s="1">
        <f t="shared" si="21"/>
        <v>662</v>
      </c>
      <c r="AG45" s="1">
        <f t="shared" si="22"/>
        <v>-359</v>
      </c>
    </row>
    <row r="46" spans="1:33">
      <c r="AE46">
        <f t="shared" si="20"/>
        <v>15</v>
      </c>
      <c r="AF46" s="1">
        <f t="shared" si="21"/>
        <v>737</v>
      </c>
      <c r="AG46" s="1">
        <f t="shared" si="22"/>
        <v>-445</v>
      </c>
    </row>
    <row r="47" spans="1:33">
      <c r="AE47">
        <f t="shared" si="20"/>
        <v>16</v>
      </c>
      <c r="AF47" s="1">
        <f t="shared" si="21"/>
        <v>816</v>
      </c>
      <c r="AG47" s="1">
        <f t="shared" si="22"/>
        <v>-539</v>
      </c>
    </row>
    <row r="48" spans="1:33">
      <c r="AE48">
        <f t="shared" si="20"/>
        <v>17</v>
      </c>
      <c r="AF48" s="1">
        <f t="shared" si="21"/>
        <v>899</v>
      </c>
      <c r="AG48" s="1">
        <f t="shared" si="22"/>
        <v>-641</v>
      </c>
    </row>
    <row r="49" spans="1:33">
      <c r="AE49">
        <f t="shared" si="20"/>
        <v>18</v>
      </c>
      <c r="AF49" s="1">
        <f t="shared" si="21"/>
        <v>986</v>
      </c>
      <c r="AG49" s="1">
        <f t="shared" si="22"/>
        <v>-751</v>
      </c>
    </row>
    <row r="50" spans="1:33">
      <c r="AE50">
        <f t="shared" si="20"/>
        <v>19</v>
      </c>
      <c r="AF50" s="1">
        <f t="shared" si="21"/>
        <v>1077</v>
      </c>
      <c r="AG50" s="1">
        <f t="shared" si="22"/>
        <v>-869</v>
      </c>
    </row>
    <row r="51" spans="1:33">
      <c r="AE51">
        <f t="shared" si="20"/>
        <v>20</v>
      </c>
      <c r="AF51" s="1">
        <f t="shared" si="21"/>
        <v>1172</v>
      </c>
      <c r="AG51" s="1">
        <f t="shared" si="22"/>
        <v>-995</v>
      </c>
    </row>
    <row r="52" spans="1:33">
      <c r="AE52">
        <f t="shared" si="20"/>
        <v>21</v>
      </c>
      <c r="AF52" s="1">
        <f t="shared" si="21"/>
        <v>1271</v>
      </c>
      <c r="AG52" s="1">
        <f t="shared" si="22"/>
        <v>-1129</v>
      </c>
    </row>
    <row r="60" spans="1:33">
      <c r="C60" s="2"/>
      <c r="D60" s="2"/>
      <c r="E60" s="2"/>
    </row>
    <row r="61" spans="1:33" ht="15.6">
      <c r="A61" s="2" t="s">
        <v>7</v>
      </c>
      <c r="C61" s="2" t="s">
        <v>8</v>
      </c>
      <c r="D61" s="2"/>
      <c r="E61" s="4"/>
      <c r="F61" s="2" t="s">
        <v>9</v>
      </c>
      <c r="H61" s="2" t="s">
        <v>647</v>
      </c>
    </row>
    <row r="62" spans="1:33">
      <c r="A62" s="2"/>
      <c r="C62" s="2"/>
      <c r="D62" s="2"/>
      <c r="E62" s="4"/>
      <c r="F62" s="2"/>
    </row>
    <row r="63" spans="1:33">
      <c r="A63" s="2" t="s">
        <v>89</v>
      </c>
      <c r="C63" s="2"/>
      <c r="D63" s="2"/>
      <c r="E63" s="4"/>
      <c r="F63" s="2"/>
    </row>
    <row r="64" spans="1:33" ht="16.8">
      <c r="A64" s="2" t="s">
        <v>10</v>
      </c>
      <c r="C64" s="2" t="s">
        <v>13</v>
      </c>
      <c r="D64" s="2"/>
    </row>
    <row r="65" spans="1:6" ht="16.8">
      <c r="A65" s="2" t="s">
        <v>16</v>
      </c>
      <c r="C65" s="2" t="s">
        <v>14</v>
      </c>
      <c r="D65" s="2"/>
      <c r="F65" s="2" t="s">
        <v>12</v>
      </c>
    </row>
    <row r="66" spans="1:6" ht="16.8">
      <c r="A66" s="2" t="s">
        <v>11</v>
      </c>
      <c r="C66" s="2" t="s">
        <v>15</v>
      </c>
      <c r="D66" s="2"/>
      <c r="E66" s="3"/>
    </row>
    <row r="67" spans="1:6" ht="15" customHeight="1">
      <c r="A67" s="2"/>
      <c r="C67" s="2"/>
      <c r="D67" s="2"/>
      <c r="E67" s="4"/>
      <c r="F67" s="2"/>
    </row>
    <row r="68" spans="1:6" ht="15" customHeight="1">
      <c r="A68" s="2" t="s">
        <v>694</v>
      </c>
      <c r="C68" s="2"/>
      <c r="D68" s="2"/>
      <c r="E68" s="4"/>
      <c r="F68" s="2"/>
    </row>
    <row r="69" spans="1:6" ht="15" customHeight="1">
      <c r="A69" s="2" t="s">
        <v>898</v>
      </c>
      <c r="C69" s="2"/>
      <c r="D69" s="2"/>
      <c r="E69" s="4"/>
      <c r="F69" s="2"/>
    </row>
    <row r="70" spans="1:6" ht="15" customHeight="1">
      <c r="A70" s="2" t="s">
        <v>816</v>
      </c>
      <c r="C70" s="2"/>
      <c r="D70" s="2"/>
      <c r="E70" s="4"/>
      <c r="F70" s="2"/>
    </row>
    <row r="71" spans="1:6" ht="15" customHeight="1">
      <c r="A71" s="2"/>
      <c r="C71" s="2"/>
      <c r="D71" s="2"/>
      <c r="E71" s="4"/>
      <c r="F71" s="2"/>
    </row>
    <row r="72" spans="1:6" ht="10.5" customHeight="1">
      <c r="A72" s="2" t="s">
        <v>716</v>
      </c>
      <c r="C72" s="2"/>
      <c r="D72" s="2"/>
      <c r="E72" s="4"/>
      <c r="F72" s="2"/>
    </row>
    <row r="73" spans="1:6">
      <c r="A73" s="2"/>
      <c r="C73" s="2"/>
      <c r="D73" s="2"/>
      <c r="E73" s="4"/>
      <c r="F73" s="2"/>
    </row>
    <row r="74" spans="1:6" ht="15" customHeight="1">
      <c r="A74" s="4" t="s">
        <v>774</v>
      </c>
      <c r="C74" s="2"/>
      <c r="D74" s="2"/>
      <c r="E74" s="4"/>
      <c r="F74" s="2"/>
    </row>
    <row r="75" spans="1:6" ht="15" customHeight="1">
      <c r="A75" s="4"/>
      <c r="C75" s="2"/>
      <c r="D75" s="2"/>
      <c r="E75" s="4"/>
      <c r="F75" s="2"/>
    </row>
    <row r="76" spans="1:6" ht="15" customHeight="1">
      <c r="A76" s="2" t="s">
        <v>782</v>
      </c>
      <c r="C76" s="2"/>
      <c r="D76" s="2"/>
      <c r="E76" s="4"/>
      <c r="F76" s="2"/>
    </row>
    <row r="77" spans="1:6" ht="15" customHeight="1">
      <c r="A77" s="2" t="s">
        <v>775</v>
      </c>
      <c r="C77" s="2"/>
      <c r="D77" s="2"/>
      <c r="E77" s="4"/>
      <c r="F77" s="2"/>
    </row>
    <row r="78" spans="1:6" ht="15" customHeight="1">
      <c r="A78" s="2"/>
      <c r="C78" s="2"/>
      <c r="D78" s="2"/>
      <c r="E78" s="4"/>
      <c r="F78" s="2"/>
    </row>
    <row r="79" spans="1:6" ht="15" customHeight="1">
      <c r="A79" s="2" t="s">
        <v>779</v>
      </c>
      <c r="C79" s="2"/>
      <c r="D79" s="2"/>
      <c r="E79" s="4"/>
      <c r="F79" s="2"/>
    </row>
    <row r="80" spans="1:6" ht="15" customHeight="1"/>
    <row r="81" spans="1:6" ht="15" customHeight="1">
      <c r="A81" s="2" t="s">
        <v>50</v>
      </c>
      <c r="B81" s="5"/>
    </row>
    <row r="82" spans="1:6" ht="15" customHeight="1">
      <c r="A82" s="176" t="s">
        <v>42</v>
      </c>
      <c r="B82" s="176" t="s">
        <v>4</v>
      </c>
    </row>
    <row r="83" spans="1:6" ht="15" customHeight="1">
      <c r="A83" s="64">
        <v>-16</v>
      </c>
      <c r="B83" s="64">
        <v>70</v>
      </c>
    </row>
    <row r="84" spans="1:6" ht="15" customHeight="1">
      <c r="A84" s="65">
        <v>-14</v>
      </c>
      <c r="B84" s="65">
        <v>30</v>
      </c>
    </row>
    <row r="85" spans="1:6" ht="15" customHeight="1">
      <c r="A85" s="65">
        <v>-6</v>
      </c>
      <c r="B85" s="65">
        <v>-5</v>
      </c>
    </row>
    <row r="86" spans="1:6" ht="15" customHeight="1">
      <c r="A86" s="65">
        <v>4</v>
      </c>
      <c r="B86" s="65">
        <v>19</v>
      </c>
    </row>
    <row r="87" spans="1:6" ht="15" customHeight="1">
      <c r="A87" s="65">
        <v>10</v>
      </c>
      <c r="B87" s="65">
        <v>75</v>
      </c>
    </row>
    <row r="88" spans="1:6" ht="15" customHeight="1">
      <c r="A88" s="66">
        <v>12</v>
      </c>
      <c r="B88" s="66">
        <v>127</v>
      </c>
    </row>
    <row r="89" spans="1:6" ht="15" customHeight="1"/>
    <row r="90" spans="1:6" ht="15" customHeight="1"/>
    <row r="91" spans="1:6" ht="15" customHeight="1"/>
    <row r="92" spans="1:6" ht="15" customHeight="1"/>
    <row r="93" spans="1:6" ht="15" customHeight="1">
      <c r="D93" s="2"/>
    </row>
    <row r="94" spans="1:6" ht="15" customHeight="1"/>
    <row r="95" spans="1:6" ht="15" customHeight="1">
      <c r="A95" s="4"/>
      <c r="C95" s="2"/>
      <c r="D95" s="2"/>
      <c r="E95" s="4"/>
      <c r="F95" s="2"/>
    </row>
    <row r="96" spans="1:6" ht="15" customHeight="1">
      <c r="A96" s="4"/>
      <c r="C96" s="2"/>
      <c r="D96" s="2"/>
      <c r="E96" s="4"/>
      <c r="F96" s="2"/>
    </row>
    <row r="97" spans="1:7" ht="15" customHeight="1">
      <c r="A97" s="4"/>
      <c r="C97" s="2"/>
      <c r="D97" s="2"/>
      <c r="E97" s="4"/>
      <c r="F97" s="2"/>
    </row>
    <row r="98" spans="1:7" ht="15" customHeight="1">
      <c r="A98" s="4"/>
      <c r="C98" s="2"/>
      <c r="D98" s="2"/>
    </row>
    <row r="99" spans="1:7" ht="19.8">
      <c r="A99" s="2" t="s">
        <v>776</v>
      </c>
      <c r="C99" s="2"/>
      <c r="D99" s="2"/>
      <c r="E99" s="2" t="s">
        <v>76</v>
      </c>
      <c r="G99" s="11" t="s">
        <v>778</v>
      </c>
    </row>
    <row r="100" spans="1:7" ht="15" customHeight="1">
      <c r="A100" s="4"/>
      <c r="C100" s="2"/>
      <c r="D100" s="2"/>
    </row>
    <row r="101" spans="1:7" ht="15" customHeight="1">
      <c r="A101" s="2" t="s">
        <v>790</v>
      </c>
      <c r="E101" s="4"/>
      <c r="F101" s="2"/>
      <c r="G101" s="2" t="s">
        <v>777</v>
      </c>
    </row>
    <row r="102" spans="1:7" ht="15" customHeight="1">
      <c r="A102" s="2" t="s">
        <v>791</v>
      </c>
      <c r="C102" s="2"/>
      <c r="D102" s="2"/>
      <c r="E102" s="4"/>
      <c r="F102" s="2"/>
    </row>
    <row r="103" spans="1:7" ht="15" customHeight="1">
      <c r="A103" s="2"/>
      <c r="C103" s="2"/>
      <c r="D103" s="2"/>
      <c r="E103" s="4"/>
      <c r="F103" s="2"/>
    </row>
    <row r="104" spans="1:7" ht="15" customHeight="1">
      <c r="A104" s="170" t="s">
        <v>986</v>
      </c>
    </row>
    <row r="105" spans="1:7" ht="15" customHeight="1">
      <c r="A105" s="14" t="s">
        <v>899</v>
      </c>
    </row>
    <row r="106" spans="1:7" ht="15" customHeight="1">
      <c r="A106" s="14"/>
    </row>
    <row r="107" spans="1:7" ht="15" customHeight="1">
      <c r="A107" s="4" t="s">
        <v>783</v>
      </c>
      <c r="C107" s="2"/>
      <c r="D107" s="2"/>
      <c r="E107" s="4"/>
      <c r="F107" s="2"/>
    </row>
    <row r="108" spans="1:7" ht="15" customHeight="1">
      <c r="A108" s="4"/>
      <c r="C108" s="2"/>
      <c r="D108" s="2"/>
      <c r="E108" s="4"/>
      <c r="F108" s="2"/>
    </row>
    <row r="109" spans="1:7">
      <c r="A109" s="2" t="s">
        <v>792</v>
      </c>
    </row>
    <row r="110" spans="1:7">
      <c r="A110" s="2" t="s">
        <v>786</v>
      </c>
    </row>
    <row r="111" spans="1:7">
      <c r="A111" s="2" t="s">
        <v>788</v>
      </c>
    </row>
    <row r="113" spans="1:8">
      <c r="A113" s="2" t="s">
        <v>659</v>
      </c>
    </row>
    <row r="114" spans="1:8">
      <c r="A114" s="2" t="s">
        <v>784</v>
      </c>
    </row>
    <row r="115" spans="1:8">
      <c r="A115" s="2"/>
    </row>
    <row r="116" spans="1:8" ht="16.2">
      <c r="A116" s="2" t="s">
        <v>787</v>
      </c>
    </row>
    <row r="117" spans="1:8" ht="16.2">
      <c r="A117" s="2" t="s">
        <v>785</v>
      </c>
    </row>
    <row r="118" spans="1:8" ht="15.6">
      <c r="A118" s="2" t="s">
        <v>793</v>
      </c>
    </row>
    <row r="119" spans="1:8">
      <c r="A119" s="2"/>
      <c r="B119" s="14"/>
      <c r="C119" s="14"/>
      <c r="D119" s="91"/>
      <c r="E119" s="91"/>
      <c r="F119" s="91"/>
      <c r="G119" s="91"/>
    </row>
    <row r="120" spans="1:8">
      <c r="A120" s="4" t="s">
        <v>818</v>
      </c>
      <c r="B120" s="14"/>
      <c r="C120" s="14"/>
      <c r="D120" s="91"/>
      <c r="E120" s="91"/>
      <c r="F120" s="91"/>
      <c r="G120" s="91"/>
    </row>
    <row r="122" spans="1:8">
      <c r="A122" s="2" t="s">
        <v>817</v>
      </c>
    </row>
    <row r="123" spans="1:8">
      <c r="A123" s="2" t="s">
        <v>789</v>
      </c>
    </row>
    <row r="124" spans="1:8">
      <c r="A124" s="2" t="s">
        <v>794</v>
      </c>
      <c r="B124" s="91"/>
      <c r="C124" s="91"/>
      <c r="D124" s="91"/>
      <c r="E124" s="91"/>
      <c r="F124" s="91"/>
      <c r="G124" s="91"/>
      <c r="H124" s="91"/>
    </row>
    <row r="125" spans="1:8">
      <c r="B125" s="14"/>
      <c r="C125" s="91"/>
      <c r="D125" s="91"/>
      <c r="E125" s="91"/>
      <c r="F125" s="91"/>
      <c r="G125" s="91"/>
      <c r="H125" s="91"/>
    </row>
    <row r="126" spans="1:8">
      <c r="A126" s="2" t="s">
        <v>795</v>
      </c>
      <c r="B126" s="14"/>
      <c r="C126" s="91"/>
      <c r="D126" s="91"/>
      <c r="E126" s="91"/>
      <c r="F126" s="91"/>
      <c r="G126" s="91"/>
      <c r="H126" s="91"/>
    </row>
    <row r="127" spans="1:8">
      <c r="A127" s="2" t="s">
        <v>819</v>
      </c>
      <c r="B127" s="91"/>
      <c r="C127" s="91"/>
      <c r="D127" s="91"/>
      <c r="E127" s="91"/>
      <c r="F127" s="91"/>
      <c r="G127" s="91"/>
      <c r="H127" s="91"/>
    </row>
    <row r="129" spans="1:1">
      <c r="A129" s="2"/>
    </row>
    <row r="130" spans="1:1">
      <c r="A130" s="4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8" spans="1:1">
      <c r="A138" s="2"/>
    </row>
    <row r="139" spans="1:1">
      <c r="A139" s="2"/>
    </row>
    <row r="140" spans="1:1">
      <c r="A140" s="2"/>
    </row>
    <row r="147" spans="1:1">
      <c r="A147" s="2"/>
    </row>
    <row r="169" spans="1:1">
      <c r="A169" s="2"/>
    </row>
    <row r="178" spans="2:9">
      <c r="B178" s="14"/>
      <c r="C178" s="14"/>
      <c r="D178" s="91"/>
      <c r="E178" s="91"/>
      <c r="F178" s="91"/>
      <c r="G178" s="91"/>
      <c r="H178" s="91"/>
      <c r="I178" s="91"/>
    </row>
    <row r="180" spans="2:9">
      <c r="H180" s="91"/>
      <c r="I180" s="91"/>
    </row>
    <row r="181" spans="2:9">
      <c r="H181" s="91"/>
      <c r="I181" s="9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112"/>
  <sheetViews>
    <sheetView workbookViewId="0">
      <selection activeCell="AC35" sqref="AC35:AG54"/>
    </sheetView>
  </sheetViews>
  <sheetFormatPr defaultRowHeight="14.4"/>
  <cols>
    <col min="9" max="9" width="10.88671875" customWidth="1"/>
    <col min="32" max="33" width="12" bestFit="1" customWidth="1"/>
  </cols>
  <sheetData>
    <row r="1" spans="1:33">
      <c r="A1" s="4" t="s">
        <v>471</v>
      </c>
    </row>
    <row r="3" spans="1:33">
      <c r="A3" s="2" t="s">
        <v>660</v>
      </c>
    </row>
    <row r="4" spans="1:33">
      <c r="A4" s="2" t="s">
        <v>469</v>
      </c>
      <c r="K4" s="181"/>
      <c r="L4" s="1"/>
      <c r="M4" s="6"/>
      <c r="N4" s="1"/>
    </row>
    <row r="5" spans="1:33">
      <c r="A5" s="2" t="s">
        <v>470</v>
      </c>
      <c r="K5" s="2"/>
      <c r="R5" s="2"/>
    </row>
    <row r="6" spans="1:33">
      <c r="A6" s="2" t="s">
        <v>868</v>
      </c>
    </row>
    <row r="7" spans="1:33">
      <c r="A7" s="2" t="s">
        <v>84</v>
      </c>
    </row>
    <row r="8" spans="1:33">
      <c r="A8" s="2"/>
    </row>
    <row r="9" spans="1:33">
      <c r="A9" s="14" t="s">
        <v>856</v>
      </c>
      <c r="K9" s="2"/>
    </row>
    <row r="10" spans="1:33">
      <c r="A10" s="14"/>
      <c r="B10" s="14" t="s">
        <v>859</v>
      </c>
    </row>
    <row r="12" spans="1:33" ht="19.8">
      <c r="A12" s="2" t="s">
        <v>77</v>
      </c>
      <c r="B12" s="2"/>
      <c r="C12" s="2"/>
      <c r="D12" s="2" t="s">
        <v>78</v>
      </c>
      <c r="F12" s="2" t="s">
        <v>5</v>
      </c>
      <c r="G12" s="2"/>
      <c r="H12" s="2"/>
      <c r="AB12" t="s">
        <v>1</v>
      </c>
      <c r="AD12">
        <v>2</v>
      </c>
      <c r="AE12">
        <v>12</v>
      </c>
      <c r="AF12">
        <v>2</v>
      </c>
      <c r="AG12">
        <v>12</v>
      </c>
    </row>
    <row r="13" spans="1:33">
      <c r="A13" s="2"/>
      <c r="B13" s="2"/>
      <c r="C13" s="2"/>
      <c r="F13" s="2" t="s">
        <v>79</v>
      </c>
      <c r="G13" s="2"/>
      <c r="H13" s="2"/>
      <c r="W13" t="s">
        <v>1</v>
      </c>
      <c r="X13" t="s">
        <v>2</v>
      </c>
      <c r="AB13" t="s">
        <v>2</v>
      </c>
      <c r="AD13">
        <v>0.2</v>
      </c>
      <c r="AE13">
        <v>6</v>
      </c>
    </row>
    <row r="14" spans="1:33">
      <c r="B14" s="2"/>
      <c r="C14" s="2"/>
      <c r="F14" s="2"/>
      <c r="Y14">
        <v>-10</v>
      </c>
      <c r="Z14">
        <v>10</v>
      </c>
      <c r="AB14" t="s">
        <v>3</v>
      </c>
      <c r="AD14">
        <v>32</v>
      </c>
      <c r="AE14">
        <v>5</v>
      </c>
    </row>
    <row r="15" spans="1:33">
      <c r="W15">
        <v>1</v>
      </c>
      <c r="X15">
        <v>0</v>
      </c>
      <c r="Y15">
        <f>$W15*Y$14+$X15</f>
        <v>-10</v>
      </c>
      <c r="Z15">
        <f>$W15*Z$14+$X15</f>
        <v>10</v>
      </c>
      <c r="AD15" t="s">
        <v>4</v>
      </c>
    </row>
    <row r="16" spans="1:33">
      <c r="AC16">
        <v>-20</v>
      </c>
      <c r="AD16" s="1">
        <f>LOG($AD$12*$AD$13^AC16)</f>
        <v>14.280430082384356</v>
      </c>
      <c r="AE16" s="1">
        <f>LOG($AE$12*$AE$13^AC16)</f>
        <v>-14.483843761625248</v>
      </c>
      <c r="AF16" s="1">
        <f>($AD$12*$AD$13^AC16)</f>
        <v>190734863281249.59</v>
      </c>
      <c r="AG16" s="1">
        <f>($AE$12*$AE$13^AC16)</f>
        <v>3.2821334733495039E-15</v>
      </c>
    </row>
    <row r="17" spans="1:33">
      <c r="W17">
        <v>1.4</v>
      </c>
      <c r="X17">
        <v>6</v>
      </c>
      <c r="Y17">
        <f>$W17*Y$14+$X17</f>
        <v>-8</v>
      </c>
      <c r="Z17">
        <f>$W17*Z$14+$X17</f>
        <v>20</v>
      </c>
      <c r="AC17">
        <f>AC16+1</f>
        <v>-19</v>
      </c>
      <c r="AD17" s="1">
        <f t="shared" ref="AD17:AD31" si="0">LOG($AD$12*$AD$13^AC17)</f>
        <v>13.581460078048337</v>
      </c>
      <c r="AE17" s="1">
        <f t="shared" ref="AE17:AE31" si="1">LOG($AE$12*$AE$13^AC17)</f>
        <v>-13.705692511241605</v>
      </c>
      <c r="AF17" s="1">
        <f t="shared" ref="AF17:AF31" si="2">($AD$12*$AD$13^AC17)</f>
        <v>38146972656249.93</v>
      </c>
      <c r="AG17" s="1">
        <f t="shared" ref="AG17:AG31" si="3">($AE$12*$AE$13^AC17)</f>
        <v>1.9692800840097023E-14</v>
      </c>
    </row>
    <row r="18" spans="1:33">
      <c r="W18">
        <v>-2</v>
      </c>
      <c r="X18">
        <v>2</v>
      </c>
      <c r="Y18">
        <f>$W18*Y$14+$X18</f>
        <v>22</v>
      </c>
      <c r="Z18">
        <f>$W18*Z$14+$X18</f>
        <v>-18</v>
      </c>
      <c r="AC18">
        <f t="shared" ref="AC18:AC31" si="4">AC17+1</f>
        <v>-18</v>
      </c>
      <c r="AD18" s="1">
        <f t="shared" si="0"/>
        <v>12.882490073712319</v>
      </c>
      <c r="AE18" s="1">
        <f t="shared" si="1"/>
        <v>-12.927541260857961</v>
      </c>
      <c r="AF18" s="1">
        <f t="shared" si="2"/>
        <v>7629394531249.9863</v>
      </c>
      <c r="AG18" s="1">
        <f t="shared" si="3"/>
        <v>1.1815680504058215E-13</v>
      </c>
    </row>
    <row r="19" spans="1:33">
      <c r="I19" s="177" t="s">
        <v>854</v>
      </c>
      <c r="J19" s="178">
        <f>10^1.0792</f>
        <v>12.000518202042656</v>
      </c>
      <c r="AC19">
        <f t="shared" si="4"/>
        <v>-17</v>
      </c>
      <c r="AD19" s="1">
        <f t="shared" si="0"/>
        <v>12.1835200693763</v>
      </c>
      <c r="AE19" s="1">
        <f t="shared" si="1"/>
        <v>-12.149390010474317</v>
      </c>
      <c r="AF19" s="1">
        <f t="shared" si="2"/>
        <v>1525878906249.9973</v>
      </c>
      <c r="AG19" s="1">
        <f t="shared" si="3"/>
        <v>7.0894083024349293E-13</v>
      </c>
    </row>
    <row r="20" spans="1:33">
      <c r="I20" s="177" t="s">
        <v>855</v>
      </c>
      <c r="J20" s="178">
        <f>10^0.7782</f>
        <v>6.0006735386411654</v>
      </c>
      <c r="AC20">
        <f t="shared" si="4"/>
        <v>-16</v>
      </c>
      <c r="AD20" s="1">
        <f t="shared" si="0"/>
        <v>11.484550065040281</v>
      </c>
      <c r="AE20" s="1">
        <f t="shared" si="1"/>
        <v>-11.371238760090673</v>
      </c>
      <c r="AF20" s="1">
        <f t="shared" si="2"/>
        <v>305175781249.99945</v>
      </c>
      <c r="AG20" s="1">
        <f t="shared" si="3"/>
        <v>4.2536449814609572E-12</v>
      </c>
    </row>
    <row r="21" spans="1:33">
      <c r="AC21">
        <f t="shared" si="4"/>
        <v>-15</v>
      </c>
      <c r="AD21" s="1">
        <f t="shared" si="0"/>
        <v>10.785580060704262</v>
      </c>
      <c r="AE21" s="1">
        <f t="shared" si="1"/>
        <v>-10.593087509707029</v>
      </c>
      <c r="AF21" s="1">
        <f t="shared" si="2"/>
        <v>61035156249.999901</v>
      </c>
      <c r="AG21" s="1">
        <f t="shared" si="3"/>
        <v>2.5521869888765743E-11</v>
      </c>
    </row>
    <row r="22" spans="1:33">
      <c r="AC22">
        <f t="shared" si="4"/>
        <v>-14</v>
      </c>
      <c r="AD22" s="1">
        <f t="shared" si="0"/>
        <v>10.086610056368244</v>
      </c>
      <c r="AE22" s="1">
        <f t="shared" si="1"/>
        <v>-9.8149362593233853</v>
      </c>
      <c r="AF22" s="1">
        <f t="shared" si="2"/>
        <v>12207031249.999983</v>
      </c>
      <c r="AG22" s="1">
        <f t="shared" si="3"/>
        <v>1.5313121933259447E-10</v>
      </c>
    </row>
    <row r="23" spans="1:33">
      <c r="AC23">
        <f t="shared" si="4"/>
        <v>-13</v>
      </c>
      <c r="AD23" s="1">
        <f t="shared" si="0"/>
        <v>9.387640052032225</v>
      </c>
      <c r="AE23" s="1">
        <f t="shared" si="1"/>
        <v>-9.0367850089397432</v>
      </c>
      <c r="AF23" s="1">
        <f t="shared" si="2"/>
        <v>2441406249.9999967</v>
      </c>
      <c r="AG23" s="1">
        <f t="shared" si="3"/>
        <v>9.1878731599556679E-10</v>
      </c>
    </row>
    <row r="24" spans="1:33">
      <c r="AC24">
        <f t="shared" si="4"/>
        <v>-12</v>
      </c>
      <c r="AD24" s="1">
        <f t="shared" si="0"/>
        <v>8.6886700476962062</v>
      </c>
      <c r="AE24" s="1">
        <f t="shared" si="1"/>
        <v>-8.2586337585560994</v>
      </c>
      <c r="AF24" s="1">
        <f t="shared" si="2"/>
        <v>488281249.99999934</v>
      </c>
      <c r="AG24" s="1">
        <f t="shared" si="3"/>
        <v>5.5127238959734005E-9</v>
      </c>
    </row>
    <row r="25" spans="1:33">
      <c r="I25" s="179" t="s">
        <v>852</v>
      </c>
      <c r="J25" s="17">
        <f>10^0.301</f>
        <v>1.9998618696327441</v>
      </c>
      <c r="AC25">
        <f t="shared" si="4"/>
        <v>-11</v>
      </c>
      <c r="AD25" s="1">
        <f t="shared" si="0"/>
        <v>7.9897000433601875</v>
      </c>
      <c r="AE25" s="1">
        <f t="shared" si="1"/>
        <v>-7.4804825081724555</v>
      </c>
      <c r="AF25" s="1">
        <f t="shared" si="2"/>
        <v>97656249.999999896</v>
      </c>
      <c r="AG25" s="1">
        <f t="shared" si="3"/>
        <v>3.3076343375840402E-8</v>
      </c>
    </row>
    <row r="26" spans="1:33">
      <c r="I26" s="179" t="s">
        <v>853</v>
      </c>
      <c r="J26" s="17">
        <f>10^-0.699</f>
        <v>0.19998618696327441</v>
      </c>
      <c r="AC26">
        <f t="shared" si="4"/>
        <v>-10</v>
      </c>
      <c r="AD26" s="1">
        <f t="shared" si="0"/>
        <v>7.2907300390241687</v>
      </c>
      <c r="AE26" s="1">
        <f t="shared" si="1"/>
        <v>-6.7023312577888117</v>
      </c>
      <c r="AF26" s="1">
        <f t="shared" si="2"/>
        <v>19531249.999999978</v>
      </c>
      <c r="AG26" s="1">
        <f t="shared" si="3"/>
        <v>1.9845806025504241E-7</v>
      </c>
    </row>
    <row r="27" spans="1:33">
      <c r="AC27">
        <f t="shared" si="4"/>
        <v>-9</v>
      </c>
      <c r="AD27" s="1">
        <f t="shared" si="0"/>
        <v>6.59176003468815</v>
      </c>
      <c r="AE27" s="1">
        <f t="shared" si="1"/>
        <v>-5.9241800074051678</v>
      </c>
      <c r="AF27" s="1">
        <f t="shared" si="2"/>
        <v>3906249.9999999967</v>
      </c>
      <c r="AG27" s="1">
        <f t="shared" si="3"/>
        <v>1.1907483615302544E-6</v>
      </c>
    </row>
    <row r="28" spans="1:33">
      <c r="AC28">
        <f t="shared" si="4"/>
        <v>-8</v>
      </c>
      <c r="AD28" s="1">
        <f t="shared" si="0"/>
        <v>5.8927900303521312</v>
      </c>
      <c r="AE28" s="1">
        <f t="shared" si="1"/>
        <v>-5.146028757021524</v>
      </c>
      <c r="AF28" s="1">
        <f t="shared" si="2"/>
        <v>781249.9999999993</v>
      </c>
      <c r="AG28" s="1">
        <f t="shared" si="3"/>
        <v>7.1444901691815278E-6</v>
      </c>
    </row>
    <row r="29" spans="1:33">
      <c r="AC29">
        <f t="shared" si="4"/>
        <v>-7</v>
      </c>
      <c r="AD29" s="1">
        <f t="shared" si="0"/>
        <v>5.1938200260161125</v>
      </c>
      <c r="AE29" s="1">
        <f t="shared" si="1"/>
        <v>-4.367877506637881</v>
      </c>
      <c r="AF29" s="1">
        <f t="shared" si="2"/>
        <v>156249.99999999988</v>
      </c>
      <c r="AG29" s="1">
        <f t="shared" si="3"/>
        <v>4.286694101508916E-5</v>
      </c>
    </row>
    <row r="30" spans="1:33">
      <c r="A30" s="2" t="s">
        <v>81</v>
      </c>
      <c r="AC30">
        <f t="shared" si="4"/>
        <v>-6</v>
      </c>
      <c r="AD30" s="1">
        <f t="shared" si="0"/>
        <v>4.4948500216800937</v>
      </c>
      <c r="AE30" s="1">
        <f t="shared" si="1"/>
        <v>-3.5897262562542371</v>
      </c>
      <c r="AF30" s="1">
        <f t="shared" si="2"/>
        <v>31249.999999999982</v>
      </c>
      <c r="AG30" s="1">
        <f t="shared" si="3"/>
        <v>2.5720164609053495E-4</v>
      </c>
    </row>
    <row r="31" spans="1:33">
      <c r="A31" s="2" t="s">
        <v>80</v>
      </c>
      <c r="C31" s="2"/>
      <c r="D31" s="2"/>
      <c r="E31" s="2"/>
      <c r="AC31">
        <f t="shared" si="4"/>
        <v>-5</v>
      </c>
      <c r="AD31" s="1">
        <f t="shared" si="0"/>
        <v>3.795880017344075</v>
      </c>
      <c r="AE31" s="1">
        <f t="shared" si="1"/>
        <v>-2.8115750058705933</v>
      </c>
      <c r="AF31" s="1">
        <f t="shared" si="2"/>
        <v>6249.9999999999964</v>
      </c>
      <c r="AG31" s="1">
        <f t="shared" si="3"/>
        <v>1.54320987654321E-3</v>
      </c>
    </row>
    <row r="32" spans="1:33">
      <c r="A32" s="2" t="s">
        <v>849</v>
      </c>
      <c r="C32" s="2"/>
      <c r="D32" s="2"/>
      <c r="E32" s="2"/>
      <c r="AC32">
        <f t="shared" ref="AC32:AC34" si="5">AC31+1</f>
        <v>-4</v>
      </c>
      <c r="AD32" s="1">
        <f t="shared" ref="AD32:AD34" si="6">LOG($AD$12*$AD$13^AC32)</f>
        <v>3.0969100130080562</v>
      </c>
      <c r="AE32" s="1">
        <f t="shared" ref="AE32:AE34" si="7">LOG($AE$12*$AE$13^AC32)</f>
        <v>-2.0334237554869499</v>
      </c>
      <c r="AF32" s="1">
        <f t="shared" ref="AF32:AF34" si="8">($AD$12*$AD$13^AC32)</f>
        <v>1249.9999999999995</v>
      </c>
      <c r="AG32" s="1">
        <f t="shared" ref="AG32:AG34" si="9">($AE$12*$AE$13^AC32)</f>
        <v>9.2592592592592587E-3</v>
      </c>
    </row>
    <row r="33" spans="1:33">
      <c r="A33" s="2" t="s">
        <v>850</v>
      </c>
      <c r="C33" s="2"/>
      <c r="D33" s="2"/>
      <c r="E33" s="4"/>
      <c r="F33" s="2"/>
      <c r="AC33">
        <f t="shared" si="5"/>
        <v>-3</v>
      </c>
      <c r="AD33" s="1">
        <f t="shared" si="6"/>
        <v>2.3979400086720375</v>
      </c>
      <c r="AE33" s="1">
        <f t="shared" si="7"/>
        <v>-1.255272505103306</v>
      </c>
      <c r="AF33" s="1">
        <f t="shared" si="8"/>
        <v>249.99999999999994</v>
      </c>
      <c r="AG33" s="1">
        <f t="shared" si="9"/>
        <v>5.5555555555555552E-2</v>
      </c>
    </row>
    <row r="34" spans="1:33">
      <c r="A34" s="2" t="s">
        <v>851</v>
      </c>
      <c r="C34" s="2"/>
      <c r="D34" s="2"/>
      <c r="E34" s="4"/>
      <c r="F34" s="2"/>
      <c r="AC34">
        <f t="shared" si="5"/>
        <v>-2</v>
      </c>
      <c r="AD34" s="1">
        <f t="shared" si="6"/>
        <v>1.6989700043360187</v>
      </c>
      <c r="AE34" s="1">
        <f t="shared" si="7"/>
        <v>-0.47712125471966244</v>
      </c>
      <c r="AF34" s="1">
        <f t="shared" si="8"/>
        <v>49.999999999999993</v>
      </c>
      <c r="AG34" s="1">
        <f t="shared" si="9"/>
        <v>0.33333333333333331</v>
      </c>
    </row>
    <row r="35" spans="1:33">
      <c r="A35" s="2"/>
      <c r="C35" s="2"/>
      <c r="D35" s="2"/>
      <c r="E35" s="4"/>
      <c r="F35" s="2"/>
      <c r="AC35">
        <f t="shared" ref="AC35:AC54" si="10">AC34+1</f>
        <v>-1</v>
      </c>
      <c r="AD35" s="1">
        <f t="shared" ref="AD35:AD54" si="11">LOG($AD$12*$AD$13^AC35)</f>
        <v>1</v>
      </c>
      <c r="AE35" s="1">
        <f t="shared" ref="AE35:AE54" si="12">LOG($AE$12*$AE$13^AC35)</f>
        <v>0.3010299956639812</v>
      </c>
      <c r="AF35" s="1">
        <f t="shared" ref="AF35:AF54" si="13">($AD$12*$AD$13^AC35)</f>
        <v>10</v>
      </c>
      <c r="AG35" s="1">
        <f t="shared" ref="AG35:AG54" si="14">($AE$12*$AE$13^AC35)</f>
        <v>2</v>
      </c>
    </row>
    <row r="36" spans="1:33">
      <c r="A36" s="14" t="s">
        <v>900</v>
      </c>
      <c r="C36" s="2"/>
      <c r="D36" s="2"/>
      <c r="E36" s="4"/>
      <c r="F36" s="2"/>
      <c r="AC36">
        <f t="shared" si="10"/>
        <v>0</v>
      </c>
      <c r="AD36" s="1">
        <f t="shared" si="11"/>
        <v>0.3010299956639812</v>
      </c>
      <c r="AE36" s="1">
        <f t="shared" si="12"/>
        <v>1.0791812460476249</v>
      </c>
      <c r="AF36" s="1">
        <f t="shared" si="13"/>
        <v>2</v>
      </c>
      <c r="AG36" s="1">
        <f t="shared" si="14"/>
        <v>12</v>
      </c>
    </row>
    <row r="37" spans="1:33">
      <c r="B37" s="2"/>
      <c r="C37" s="2"/>
      <c r="F37" s="2"/>
      <c r="AC37">
        <f t="shared" si="10"/>
        <v>1</v>
      </c>
      <c r="AD37" s="1">
        <f t="shared" si="11"/>
        <v>-0.3979400086720376</v>
      </c>
      <c r="AE37" s="1">
        <f t="shared" si="12"/>
        <v>1.8573324964312685</v>
      </c>
      <c r="AF37" s="1">
        <f t="shared" si="13"/>
        <v>0.4</v>
      </c>
      <c r="AG37" s="1">
        <f t="shared" si="14"/>
        <v>72</v>
      </c>
    </row>
    <row r="38" spans="1:33">
      <c r="AC38">
        <f t="shared" si="10"/>
        <v>2</v>
      </c>
      <c r="AD38" s="1">
        <f t="shared" si="11"/>
        <v>-1.0969100130080562</v>
      </c>
      <c r="AE38" s="1">
        <f t="shared" si="12"/>
        <v>2.6354837468149119</v>
      </c>
      <c r="AF38" s="1">
        <f t="shared" si="13"/>
        <v>8.0000000000000016E-2</v>
      </c>
      <c r="AG38" s="1">
        <f t="shared" si="14"/>
        <v>432</v>
      </c>
    </row>
    <row r="39" spans="1:33">
      <c r="AC39">
        <f t="shared" si="10"/>
        <v>3</v>
      </c>
      <c r="AD39" s="1">
        <f t="shared" si="11"/>
        <v>-1.7958800173440752</v>
      </c>
      <c r="AE39" s="1">
        <f t="shared" si="12"/>
        <v>3.4136349971985558</v>
      </c>
      <c r="AF39" s="1">
        <f t="shared" si="13"/>
        <v>1.6000000000000004E-2</v>
      </c>
      <c r="AG39" s="1">
        <f t="shared" si="14"/>
        <v>2592</v>
      </c>
    </row>
    <row r="40" spans="1:33">
      <c r="AC40">
        <f t="shared" si="10"/>
        <v>4</v>
      </c>
      <c r="AD40" s="1">
        <f t="shared" si="11"/>
        <v>-2.4948500216800937</v>
      </c>
      <c r="AE40" s="1">
        <f t="shared" si="12"/>
        <v>4.1917862475821996</v>
      </c>
      <c r="AF40" s="1">
        <f t="shared" si="13"/>
        <v>3.2000000000000015E-3</v>
      </c>
      <c r="AG40" s="1">
        <f t="shared" si="14"/>
        <v>15552</v>
      </c>
    </row>
    <row r="41" spans="1:33">
      <c r="AC41">
        <f t="shared" si="10"/>
        <v>5</v>
      </c>
      <c r="AD41" s="1">
        <f t="shared" si="11"/>
        <v>-3.1938200260161125</v>
      </c>
      <c r="AE41" s="1">
        <f t="shared" si="12"/>
        <v>4.9699374979658426</v>
      </c>
      <c r="AF41" s="1">
        <f t="shared" si="13"/>
        <v>6.4000000000000038E-4</v>
      </c>
      <c r="AG41" s="1">
        <f t="shared" si="14"/>
        <v>93312</v>
      </c>
    </row>
    <row r="42" spans="1:33">
      <c r="AC42">
        <f t="shared" si="10"/>
        <v>6</v>
      </c>
      <c r="AD42" s="1">
        <f t="shared" si="11"/>
        <v>-3.8927900303521312</v>
      </c>
      <c r="AE42" s="1">
        <f t="shared" si="12"/>
        <v>5.7480887483494865</v>
      </c>
      <c r="AF42" s="1">
        <f t="shared" si="13"/>
        <v>1.2800000000000008E-4</v>
      </c>
      <c r="AG42" s="1">
        <f t="shared" si="14"/>
        <v>559872</v>
      </c>
    </row>
    <row r="43" spans="1:33">
      <c r="AC43">
        <f t="shared" si="10"/>
        <v>7</v>
      </c>
      <c r="AD43" s="1">
        <f t="shared" si="11"/>
        <v>-4.59176003468815</v>
      </c>
      <c r="AE43" s="1">
        <f t="shared" si="12"/>
        <v>6.5262399987331303</v>
      </c>
      <c r="AF43" s="1">
        <f t="shared" si="13"/>
        <v>2.5600000000000019E-5</v>
      </c>
      <c r="AG43" s="1">
        <f t="shared" si="14"/>
        <v>3359232</v>
      </c>
    </row>
    <row r="44" spans="1:33">
      <c r="AC44">
        <f t="shared" si="10"/>
        <v>8</v>
      </c>
      <c r="AD44" s="1">
        <f t="shared" si="11"/>
        <v>-5.2907300390241687</v>
      </c>
      <c r="AE44" s="1">
        <f t="shared" si="12"/>
        <v>7.3043912491167742</v>
      </c>
      <c r="AF44" s="1">
        <f t="shared" si="13"/>
        <v>5.1200000000000043E-6</v>
      </c>
      <c r="AG44" s="1">
        <f t="shared" si="14"/>
        <v>20155392</v>
      </c>
    </row>
    <row r="45" spans="1:33">
      <c r="AC45">
        <f t="shared" si="10"/>
        <v>9</v>
      </c>
      <c r="AD45" s="1">
        <f t="shared" si="11"/>
        <v>-5.9897000433601875</v>
      </c>
      <c r="AE45" s="1">
        <f t="shared" si="12"/>
        <v>8.082542499500418</v>
      </c>
      <c r="AF45" s="1">
        <f t="shared" si="13"/>
        <v>1.0240000000000009E-6</v>
      </c>
      <c r="AG45" s="1">
        <f t="shared" si="14"/>
        <v>120932352</v>
      </c>
    </row>
    <row r="46" spans="1:33">
      <c r="AC46">
        <f t="shared" si="10"/>
        <v>10</v>
      </c>
      <c r="AD46" s="1">
        <f t="shared" si="11"/>
        <v>-6.6886700476962062</v>
      </c>
      <c r="AE46" s="1">
        <f t="shared" si="12"/>
        <v>8.8606937498840619</v>
      </c>
      <c r="AF46" s="1">
        <f t="shared" si="13"/>
        <v>2.0480000000000022E-7</v>
      </c>
      <c r="AG46" s="1">
        <f t="shared" si="14"/>
        <v>725594112</v>
      </c>
    </row>
    <row r="47" spans="1:33">
      <c r="AC47">
        <f t="shared" si="10"/>
        <v>11</v>
      </c>
      <c r="AD47" s="1">
        <f t="shared" si="11"/>
        <v>-7.387640052032225</v>
      </c>
      <c r="AE47" s="1">
        <f t="shared" si="12"/>
        <v>9.638845000267704</v>
      </c>
      <c r="AF47" s="1">
        <f t="shared" si="13"/>
        <v>4.0960000000000044E-8</v>
      </c>
      <c r="AG47" s="1">
        <f t="shared" si="14"/>
        <v>4353564672</v>
      </c>
    </row>
    <row r="48" spans="1:33">
      <c r="AC48">
        <f t="shared" si="10"/>
        <v>12</v>
      </c>
      <c r="AD48" s="1">
        <f t="shared" si="11"/>
        <v>-8.0866100563682437</v>
      </c>
      <c r="AE48" s="1">
        <f t="shared" si="12"/>
        <v>10.416996250651348</v>
      </c>
      <c r="AF48" s="1">
        <f t="shared" si="13"/>
        <v>8.1920000000000114E-9</v>
      </c>
      <c r="AG48" s="1">
        <f t="shared" si="14"/>
        <v>26121388032</v>
      </c>
    </row>
    <row r="49" spans="1:33">
      <c r="AC49">
        <f t="shared" si="10"/>
        <v>13</v>
      </c>
      <c r="AD49" s="1">
        <f t="shared" si="11"/>
        <v>-8.7855800607042625</v>
      </c>
      <c r="AE49" s="1">
        <f t="shared" si="12"/>
        <v>11.195147501034992</v>
      </c>
      <c r="AF49" s="1">
        <f t="shared" si="13"/>
        <v>1.6384000000000023E-9</v>
      </c>
      <c r="AG49" s="1">
        <f t="shared" si="14"/>
        <v>156728328192</v>
      </c>
    </row>
    <row r="50" spans="1:33">
      <c r="AC50">
        <f t="shared" si="10"/>
        <v>14</v>
      </c>
      <c r="AD50" s="1">
        <f t="shared" si="11"/>
        <v>-9.4845500650402812</v>
      </c>
      <c r="AE50" s="1">
        <f t="shared" si="12"/>
        <v>11.973298751418636</v>
      </c>
      <c r="AF50" s="1">
        <f t="shared" si="13"/>
        <v>3.2768000000000046E-10</v>
      </c>
      <c r="AG50" s="1">
        <f t="shared" si="14"/>
        <v>940369969152</v>
      </c>
    </row>
    <row r="51" spans="1:33">
      <c r="AC51">
        <f t="shared" si="10"/>
        <v>15</v>
      </c>
      <c r="AD51" s="1">
        <f t="shared" si="11"/>
        <v>-10.1835200693763</v>
      </c>
      <c r="AE51" s="1">
        <f t="shared" si="12"/>
        <v>12.751450001802279</v>
      </c>
      <c r="AF51" s="1">
        <f t="shared" si="13"/>
        <v>6.5536000000000108E-11</v>
      </c>
      <c r="AG51" s="1">
        <f t="shared" si="14"/>
        <v>5642219814912</v>
      </c>
    </row>
    <row r="52" spans="1:33">
      <c r="A52" s="2"/>
      <c r="C52" s="2"/>
      <c r="D52" s="2"/>
      <c r="E52" s="3"/>
      <c r="AC52">
        <f t="shared" si="10"/>
        <v>16</v>
      </c>
      <c r="AD52" s="1">
        <f t="shared" si="11"/>
        <v>-10.882490073712319</v>
      </c>
      <c r="AE52" s="1">
        <f t="shared" si="12"/>
        <v>13.529601252185923</v>
      </c>
      <c r="AF52" s="1">
        <f t="shared" si="13"/>
        <v>1.3107200000000022E-11</v>
      </c>
      <c r="AG52" s="1">
        <f t="shared" si="14"/>
        <v>33853318889472</v>
      </c>
    </row>
    <row r="53" spans="1:33">
      <c r="A53" s="2" t="s">
        <v>901</v>
      </c>
      <c r="AC53">
        <f t="shared" si="10"/>
        <v>17</v>
      </c>
      <c r="AD53" s="1">
        <f t="shared" si="11"/>
        <v>-11.581460078048337</v>
      </c>
      <c r="AE53" s="1">
        <f t="shared" si="12"/>
        <v>14.307752502569567</v>
      </c>
      <c r="AF53" s="1">
        <f t="shared" si="13"/>
        <v>2.6214400000000046E-12</v>
      </c>
      <c r="AG53" s="1">
        <f t="shared" si="14"/>
        <v>203119913336832</v>
      </c>
    </row>
    <row r="54" spans="1:33">
      <c r="A54" s="14" t="s">
        <v>652</v>
      </c>
      <c r="B54" s="91"/>
      <c r="C54" s="91"/>
      <c r="D54" s="91"/>
      <c r="E54" s="91"/>
      <c r="F54" s="91"/>
      <c r="G54" s="91"/>
      <c r="H54" s="2"/>
      <c r="AC54">
        <f t="shared" si="10"/>
        <v>18</v>
      </c>
      <c r="AD54" s="1">
        <f t="shared" si="11"/>
        <v>-12.280430082384356</v>
      </c>
      <c r="AE54" s="1">
        <f t="shared" si="12"/>
        <v>15.085903752953211</v>
      </c>
      <c r="AF54" s="1">
        <f t="shared" si="13"/>
        <v>5.2428800000000095E-13</v>
      </c>
      <c r="AG54" s="1">
        <f t="shared" si="14"/>
        <v>1218719480020992</v>
      </c>
    </row>
    <row r="55" spans="1:33">
      <c r="A55" s="14" t="s">
        <v>858</v>
      </c>
      <c r="B55" s="91"/>
      <c r="C55" s="91"/>
      <c r="D55" s="91"/>
      <c r="E55" s="91"/>
      <c r="F55" s="91"/>
      <c r="G55" s="91"/>
      <c r="H55" s="2"/>
    </row>
    <row r="56" spans="1:33">
      <c r="A56" s="2"/>
      <c r="H56" s="2"/>
    </row>
    <row r="57" spans="1:33">
      <c r="A57" s="2" t="s">
        <v>83</v>
      </c>
    </row>
    <row r="58" spans="1:33">
      <c r="A58" s="2" t="s">
        <v>897</v>
      </c>
      <c r="AD58" s="1"/>
      <c r="AE58" s="1"/>
      <c r="AF58" s="1"/>
      <c r="AG58" s="1"/>
    </row>
    <row r="59" spans="1:33">
      <c r="A59" s="2" t="s">
        <v>894</v>
      </c>
      <c r="AD59" s="1"/>
      <c r="AE59" s="1"/>
      <c r="AF59" s="1"/>
      <c r="AG59" s="1"/>
    </row>
    <row r="60" spans="1:33" ht="16.2">
      <c r="A60" s="2" t="s">
        <v>895</v>
      </c>
      <c r="AD60" s="1"/>
      <c r="AE60" s="1"/>
      <c r="AF60" s="1"/>
      <c r="AG60" s="1"/>
    </row>
    <row r="61" spans="1:33" ht="16.2">
      <c r="A61" s="2" t="s">
        <v>896</v>
      </c>
      <c r="AD61" s="1"/>
      <c r="AE61" s="1"/>
      <c r="AF61" s="1"/>
      <c r="AG61" s="1"/>
    </row>
    <row r="62" spans="1:33">
      <c r="A62" s="2"/>
      <c r="AD62" s="1"/>
      <c r="AE62" s="1"/>
      <c r="AF62" s="1"/>
      <c r="AG62" s="1"/>
    </row>
    <row r="63" spans="1:33" ht="16.2">
      <c r="A63" s="2" t="s">
        <v>82</v>
      </c>
      <c r="AD63" s="1"/>
      <c r="AE63" s="1"/>
      <c r="AF63" s="1"/>
      <c r="AG63" s="1"/>
    </row>
    <row r="64" spans="1:33">
      <c r="A64" s="2" t="s">
        <v>621</v>
      </c>
      <c r="AD64" s="1"/>
      <c r="AE64" s="1"/>
      <c r="AF64" s="1"/>
      <c r="AG64" s="1"/>
    </row>
    <row r="65" spans="1:33">
      <c r="A65" s="2" t="s">
        <v>889</v>
      </c>
      <c r="AD65" s="1"/>
      <c r="AE65" s="1"/>
      <c r="AF65" s="1"/>
      <c r="AG65" s="1"/>
    </row>
    <row r="66" spans="1:33">
      <c r="A66" s="2"/>
      <c r="AD66" s="1"/>
      <c r="AE66" s="1"/>
      <c r="AF66" s="1"/>
      <c r="AG66" s="1"/>
    </row>
    <row r="67" spans="1:33">
      <c r="A67" s="2" t="s">
        <v>890</v>
      </c>
      <c r="AD67" s="1"/>
      <c r="AE67" s="1"/>
      <c r="AF67" s="1"/>
      <c r="AG67" s="1"/>
    </row>
    <row r="68" spans="1:33">
      <c r="A68" s="2" t="s">
        <v>862</v>
      </c>
      <c r="AD68" s="1"/>
      <c r="AE68" s="1"/>
      <c r="AF68" s="1"/>
      <c r="AG68" s="1"/>
    </row>
    <row r="69" spans="1:33">
      <c r="A69" s="2" t="s">
        <v>861</v>
      </c>
      <c r="AD69" s="1"/>
      <c r="AE69" s="1"/>
      <c r="AF69" s="1"/>
      <c r="AG69" s="1"/>
    </row>
    <row r="70" spans="1:33">
      <c r="A70" s="2" t="s">
        <v>860</v>
      </c>
      <c r="AD70" s="1"/>
      <c r="AE70" s="1"/>
      <c r="AF70" s="1"/>
      <c r="AG70" s="1"/>
    </row>
    <row r="71" spans="1:33" ht="16.2">
      <c r="A71" s="2" t="s">
        <v>891</v>
      </c>
      <c r="AD71" s="1"/>
      <c r="AE71" s="1"/>
      <c r="AF71" s="1"/>
      <c r="AG71" s="1"/>
    </row>
    <row r="72" spans="1:33">
      <c r="A72" s="2"/>
      <c r="AD72" s="1"/>
      <c r="AE72" s="1"/>
      <c r="AF72" s="1"/>
      <c r="AG72" s="1"/>
    </row>
    <row r="73" spans="1:33">
      <c r="A73" s="4" t="s">
        <v>869</v>
      </c>
      <c r="AD73" s="1"/>
      <c r="AE73" s="1"/>
      <c r="AF73" s="1"/>
      <c r="AG73" s="1"/>
    </row>
    <row r="74" spans="1:33">
      <c r="A74" s="2"/>
      <c r="AD74" s="1"/>
      <c r="AE74" s="1"/>
      <c r="AF74" s="1"/>
      <c r="AG74" s="1"/>
    </row>
    <row r="75" spans="1:33">
      <c r="A75" s="2" t="s">
        <v>50</v>
      </c>
      <c r="B75" s="5"/>
      <c r="F75" s="138"/>
      <c r="K75" s="2" t="s">
        <v>870</v>
      </c>
      <c r="L75" s="36"/>
      <c r="M75" s="36"/>
    </row>
    <row r="76" spans="1:33" ht="16.2">
      <c r="A76" s="176" t="s">
        <v>42</v>
      </c>
      <c r="B76" s="176" t="s">
        <v>4</v>
      </c>
      <c r="C76" s="1"/>
      <c r="D76" s="5" t="s">
        <v>863</v>
      </c>
      <c r="E76" s="5" t="s">
        <v>864</v>
      </c>
      <c r="F76" s="187"/>
      <c r="G76" s="5"/>
      <c r="H76" s="1"/>
      <c r="I76" s="1"/>
      <c r="J76" s="1"/>
      <c r="K76" s="2" t="s">
        <v>865</v>
      </c>
      <c r="L76" s="36" t="s">
        <v>885</v>
      </c>
      <c r="M76" s="36"/>
    </row>
    <row r="77" spans="1:33">
      <c r="A77" s="182">
        <v>0</v>
      </c>
      <c r="B77" s="182">
        <v>1</v>
      </c>
      <c r="D77" s="5" t="e">
        <f>LOG(A77)</f>
        <v>#NUM!</v>
      </c>
      <c r="E77" s="5">
        <f t="shared" ref="E77:E82" si="15">LOG(B77)</f>
        <v>0</v>
      </c>
      <c r="F77" s="187" t="s">
        <v>879</v>
      </c>
      <c r="G77" s="5"/>
      <c r="H77" s="1"/>
      <c r="I77" s="1"/>
      <c r="J77" s="1"/>
      <c r="K77" s="185"/>
      <c r="L77" s="102"/>
      <c r="M77" s="36"/>
    </row>
    <row r="78" spans="1:33">
      <c r="A78" s="183">
        <v>1</v>
      </c>
      <c r="B78" s="183">
        <v>0.5</v>
      </c>
      <c r="D78" s="5">
        <f t="shared" ref="D78:D82" si="16">LOG(A78)</f>
        <v>0</v>
      </c>
      <c r="E78" s="5">
        <f t="shared" si="15"/>
        <v>-0.3010299956639812</v>
      </c>
      <c r="F78" s="2"/>
      <c r="G78" s="5"/>
      <c r="H78" s="1"/>
      <c r="I78" s="1"/>
      <c r="J78" s="1"/>
      <c r="K78" s="186">
        <f>0.5759*A78^2.1027</f>
        <v>0.57589999999999997</v>
      </c>
      <c r="L78" s="102">
        <f t="shared" ref="L78:L82" si="17">0.343716*2.25996^A78</f>
        <v>0.77678441136000009</v>
      </c>
      <c r="M78" s="36"/>
    </row>
    <row r="79" spans="1:33">
      <c r="A79" s="183">
        <v>2</v>
      </c>
      <c r="B79" s="183">
        <v>2.5</v>
      </c>
      <c r="D79" s="5">
        <f t="shared" si="16"/>
        <v>0.3010299956639812</v>
      </c>
      <c r="E79" s="5">
        <f t="shared" si="15"/>
        <v>0.3979400086720376</v>
      </c>
      <c r="F79" s="2"/>
      <c r="G79" s="5"/>
      <c r="H79" s="1"/>
      <c r="I79" s="1"/>
      <c r="J79" s="1"/>
      <c r="K79" s="186">
        <f t="shared" ref="K79:K82" si="18">0.5759*A79^2.1027</f>
        <v>2.4735622845240033</v>
      </c>
      <c r="L79" s="102">
        <f t="shared" si="17"/>
        <v>1.7555016982971456</v>
      </c>
      <c r="M79" s="36"/>
    </row>
    <row r="80" spans="1:33">
      <c r="A80" s="183">
        <v>3</v>
      </c>
      <c r="B80" s="183">
        <v>5.5</v>
      </c>
      <c r="D80" s="5">
        <f t="shared" si="16"/>
        <v>0.47712125471966244</v>
      </c>
      <c r="E80" s="5">
        <f t="shared" si="15"/>
        <v>0.74036268949424389</v>
      </c>
      <c r="F80" s="2"/>
      <c r="G80" s="5"/>
      <c r="H80" s="1"/>
      <c r="I80" s="1"/>
      <c r="J80" s="1"/>
      <c r="K80" s="186">
        <f t="shared" si="18"/>
        <v>5.8021632079933996</v>
      </c>
      <c r="L80" s="102">
        <f t="shared" si="17"/>
        <v>3.9673636180836174</v>
      </c>
      <c r="M80" s="36"/>
    </row>
    <row r="81" spans="1:12">
      <c r="A81" s="183">
        <v>4</v>
      </c>
      <c r="B81" s="183">
        <v>9.4</v>
      </c>
      <c r="D81" s="5">
        <f t="shared" si="16"/>
        <v>0.6020599913279624</v>
      </c>
      <c r="E81" s="5">
        <f t="shared" si="15"/>
        <v>0.97312785359969867</v>
      </c>
      <c r="F81" s="2"/>
      <c r="G81" s="5"/>
      <c r="H81" s="1"/>
      <c r="I81" s="1"/>
      <c r="J81" s="1"/>
      <c r="K81" s="186">
        <f t="shared" si="18"/>
        <v>10.624258335508955</v>
      </c>
      <c r="L81" s="102">
        <f t="shared" si="17"/>
        <v>8.9660830823242517</v>
      </c>
    </row>
    <row r="82" spans="1:12">
      <c r="A82" s="184">
        <v>5</v>
      </c>
      <c r="B82" s="184">
        <v>15.2</v>
      </c>
      <c r="D82" s="5">
        <f t="shared" si="16"/>
        <v>0.69897000433601886</v>
      </c>
      <c r="E82" s="5">
        <f t="shared" si="15"/>
        <v>1.1818435879447726</v>
      </c>
      <c r="F82" s="2"/>
      <c r="G82" s="5"/>
      <c r="H82" s="1"/>
      <c r="I82" s="1"/>
      <c r="J82" s="1"/>
      <c r="K82" s="186">
        <f t="shared" si="18"/>
        <v>16.985225093388735</v>
      </c>
      <c r="L82" s="102">
        <f t="shared" si="17"/>
        <v>20.262989122729515</v>
      </c>
    </row>
    <row r="83" spans="1:12">
      <c r="A83" s="2"/>
    </row>
    <row r="84" spans="1:12">
      <c r="A84" s="2"/>
      <c r="F84" s="2"/>
    </row>
    <row r="85" spans="1:12">
      <c r="A85" s="2"/>
      <c r="F85" s="2"/>
    </row>
    <row r="86" spans="1:12">
      <c r="A86" s="2"/>
      <c r="F86" s="2"/>
    </row>
    <row r="87" spans="1:12">
      <c r="A87" s="2"/>
      <c r="F87" s="2"/>
    </row>
    <row r="88" spans="1:12">
      <c r="A88" s="2"/>
      <c r="F88" s="2"/>
    </row>
    <row r="89" spans="1:12">
      <c r="A89" s="2"/>
      <c r="F89" s="2"/>
    </row>
    <row r="90" spans="1:12">
      <c r="A90" s="2"/>
      <c r="F90" s="2"/>
    </row>
    <row r="91" spans="1:12">
      <c r="A91" s="2"/>
      <c r="F91" s="2"/>
    </row>
    <row r="92" spans="1:12">
      <c r="A92" s="2"/>
      <c r="F92" s="2"/>
    </row>
    <row r="93" spans="1:12">
      <c r="A93" s="2"/>
      <c r="F93" s="2"/>
    </row>
    <row r="94" spans="1:12">
      <c r="A94" s="2"/>
      <c r="F94" s="2"/>
    </row>
    <row r="95" spans="1:12">
      <c r="A95" s="2"/>
      <c r="F95" s="2"/>
    </row>
    <row r="96" spans="1:12">
      <c r="A96" s="2"/>
      <c r="F96" s="2"/>
    </row>
    <row r="97" spans="1:13">
      <c r="A97" s="2"/>
      <c r="F97" s="2"/>
    </row>
    <row r="99" spans="1:13" ht="16.2">
      <c r="A99" s="2" t="s">
        <v>865</v>
      </c>
      <c r="B99" s="2" t="s">
        <v>866</v>
      </c>
      <c r="D99" s="2">
        <f>10^-0.2759</f>
        <v>0.52978541744886454</v>
      </c>
      <c r="E99" s="2" t="s">
        <v>867</v>
      </c>
      <c r="G99" s="2" t="s">
        <v>878</v>
      </c>
      <c r="H99" s="2" t="s">
        <v>880</v>
      </c>
      <c r="I99" s="2"/>
      <c r="J99" s="2">
        <f>10^-0.4638</f>
        <v>0.34371619861753494</v>
      </c>
      <c r="K99" s="2" t="s">
        <v>884</v>
      </c>
      <c r="L99" s="2"/>
      <c r="M99" s="2">
        <f>10^0.3541</f>
        <v>2.2599560844343753</v>
      </c>
    </row>
    <row r="101" spans="1:13">
      <c r="A101" s="2" t="s">
        <v>871</v>
      </c>
      <c r="H101" s="2" t="s">
        <v>881</v>
      </c>
    </row>
    <row r="102" spans="1:13">
      <c r="A102" s="2" t="s">
        <v>874</v>
      </c>
      <c r="H102" s="2" t="s">
        <v>873</v>
      </c>
    </row>
    <row r="104" spans="1:13" ht="16.2">
      <c r="A104" s="180" t="s">
        <v>872</v>
      </c>
      <c r="B104" s="7"/>
      <c r="C104" s="1"/>
      <c r="F104" s="2" t="s">
        <v>877</v>
      </c>
      <c r="H104" s="2" t="s">
        <v>872</v>
      </c>
    </row>
    <row r="105" spans="1:13" ht="16.2">
      <c r="A105" s="2" t="s">
        <v>902</v>
      </c>
      <c r="H105" s="2" t="s">
        <v>876</v>
      </c>
    </row>
    <row r="107" spans="1:13">
      <c r="H107" s="2" t="s">
        <v>886</v>
      </c>
    </row>
    <row r="108" spans="1:13">
      <c r="H108" s="2" t="s">
        <v>882</v>
      </c>
    </row>
    <row r="109" spans="1:13">
      <c r="A109" s="2"/>
      <c r="H109" s="2" t="s">
        <v>883</v>
      </c>
    </row>
    <row r="110" spans="1:13">
      <c r="A110" s="14" t="s">
        <v>887</v>
      </c>
    </row>
    <row r="111" spans="1:13">
      <c r="A111" s="14" t="s">
        <v>888</v>
      </c>
    </row>
    <row r="112" spans="1:13">
      <c r="A112" s="2"/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17"/>
  <sheetViews>
    <sheetView workbookViewId="0">
      <selection activeCell="M8" sqref="M8"/>
    </sheetView>
  </sheetViews>
  <sheetFormatPr defaultRowHeight="14.4"/>
  <cols>
    <col min="1" max="1" width="23.6640625" customWidth="1"/>
    <col min="3" max="3" width="12.33203125" customWidth="1"/>
    <col min="4" max="4" width="10.5546875" customWidth="1"/>
    <col min="5" max="5" width="11.44140625" customWidth="1"/>
    <col min="6" max="6" width="10.5546875" customWidth="1"/>
    <col min="7" max="7" width="12.6640625" bestFit="1" customWidth="1"/>
    <col min="8" max="8" width="10.5546875" bestFit="1" customWidth="1"/>
  </cols>
  <sheetData>
    <row r="1" spans="1:11">
      <c r="A1" s="4" t="s">
        <v>472</v>
      </c>
    </row>
    <row r="2" spans="1:11">
      <c r="A2" s="4"/>
      <c r="B2" s="2"/>
    </row>
    <row r="3" spans="1:11">
      <c r="A3" s="2" t="s">
        <v>473</v>
      </c>
      <c r="B3" s="2"/>
    </row>
    <row r="4" spans="1:11">
      <c r="A4" s="2" t="s">
        <v>661</v>
      </c>
      <c r="B4" s="2"/>
    </row>
    <row r="5" spans="1:11">
      <c r="A5" s="2" t="s">
        <v>662</v>
      </c>
      <c r="B5" s="2"/>
    </row>
    <row r="6" spans="1:11">
      <c r="B6" s="2"/>
    </row>
    <row r="7" spans="1:11">
      <c r="A7" s="2" t="s">
        <v>474</v>
      </c>
      <c r="B7" s="2"/>
    </row>
    <row r="9" spans="1:11">
      <c r="A9" s="4" t="s">
        <v>93</v>
      </c>
    </row>
    <row r="10" spans="1:11">
      <c r="A10" s="4"/>
    </row>
    <row r="11" spans="1:11">
      <c r="A11" s="2" t="s">
        <v>100</v>
      </c>
      <c r="B11" s="2"/>
      <c r="C11" s="2" t="s">
        <v>101</v>
      </c>
      <c r="D11" s="2"/>
      <c r="E11" s="2"/>
      <c r="F11" s="2"/>
      <c r="H11" s="2"/>
      <c r="I11" s="2"/>
      <c r="J11" s="2"/>
      <c r="K11" s="2"/>
    </row>
    <row r="12" spans="1:11">
      <c r="A12" s="2" t="s">
        <v>94</v>
      </c>
      <c r="B12" s="2"/>
      <c r="C12" s="2" t="s">
        <v>99</v>
      </c>
      <c r="D12" s="2"/>
      <c r="E12" s="2"/>
      <c r="F12" s="11" t="s">
        <v>622</v>
      </c>
      <c r="H12" s="2"/>
      <c r="I12" s="2"/>
      <c r="J12" s="2"/>
      <c r="K12" s="2"/>
    </row>
    <row r="13" spans="1:11">
      <c r="A13" s="2" t="s">
        <v>95</v>
      </c>
      <c r="B13" s="2"/>
      <c r="C13" s="2" t="s">
        <v>102</v>
      </c>
      <c r="D13" s="2"/>
      <c r="E13" s="2"/>
      <c r="F13" s="2"/>
      <c r="H13" s="2"/>
      <c r="I13" s="2"/>
      <c r="J13" s="2"/>
      <c r="K13" s="2"/>
    </row>
    <row r="14" spans="1:11" ht="16.2">
      <c r="A14" s="2" t="s">
        <v>96</v>
      </c>
      <c r="B14" s="2"/>
      <c r="C14" s="2" t="s">
        <v>175</v>
      </c>
      <c r="D14" s="2"/>
      <c r="E14" s="2"/>
      <c r="F14" s="2"/>
      <c r="H14" s="2"/>
      <c r="I14" s="2"/>
      <c r="J14" s="2"/>
      <c r="K14" s="2"/>
    </row>
    <row r="15" spans="1:11">
      <c r="A15" s="2" t="s">
        <v>97</v>
      </c>
      <c r="B15" s="2"/>
      <c r="C15" s="22" t="s">
        <v>98</v>
      </c>
      <c r="D15" s="2"/>
      <c r="E15" s="2" t="s">
        <v>103</v>
      </c>
      <c r="H15" s="2"/>
      <c r="I15" s="2"/>
      <c r="J15" s="2"/>
      <c r="K15" s="2"/>
    </row>
    <row r="16" spans="1:11">
      <c r="A16" s="2"/>
      <c r="B16" s="2"/>
      <c r="C16" s="2"/>
      <c r="D16" s="22"/>
      <c r="E16" s="2"/>
      <c r="F16" s="2"/>
      <c r="H16" s="2"/>
      <c r="I16" s="2"/>
      <c r="J16" s="2"/>
      <c r="K16" s="2"/>
    </row>
    <row r="17" spans="1:14">
      <c r="A17" s="2" t="s">
        <v>663</v>
      </c>
      <c r="B17" s="2"/>
      <c r="C17" s="2"/>
      <c r="D17" s="22"/>
      <c r="E17" s="2"/>
      <c r="F17" s="2"/>
      <c r="H17" s="2"/>
      <c r="I17" s="2"/>
      <c r="J17" s="2"/>
      <c r="K17" s="2"/>
    </row>
    <row r="18" spans="1:14">
      <c r="A18" s="2"/>
      <c r="B18" s="2"/>
      <c r="C18" s="2"/>
      <c r="D18" s="22"/>
      <c r="E18" s="2"/>
      <c r="F18" s="2"/>
      <c r="H18" s="2"/>
      <c r="I18" s="2"/>
      <c r="J18" s="2"/>
      <c r="K18" s="2"/>
    </row>
    <row r="19" spans="1:14" ht="16.8">
      <c r="A19" s="5" t="s">
        <v>156</v>
      </c>
      <c r="B19" s="5" t="s">
        <v>42</v>
      </c>
      <c r="C19" s="2" t="s">
        <v>95</v>
      </c>
      <c r="D19" s="45" t="s">
        <v>158</v>
      </c>
      <c r="E19" s="2"/>
      <c r="F19" s="45" t="s">
        <v>163</v>
      </c>
      <c r="G19" s="2" t="s">
        <v>161</v>
      </c>
      <c r="H19" s="2" t="s">
        <v>164</v>
      </c>
      <c r="I19" s="2"/>
      <c r="J19" s="2"/>
      <c r="K19" s="2"/>
    </row>
    <row r="20" spans="1:14">
      <c r="A20" s="5">
        <v>1</v>
      </c>
      <c r="B20" s="5">
        <v>5</v>
      </c>
      <c r="C20" s="5">
        <f>B20-$B$27</f>
        <v>-1.5</v>
      </c>
      <c r="D20" s="45">
        <f>C20^2</f>
        <v>2.25</v>
      </c>
      <c r="E20" s="2"/>
      <c r="F20" s="2">
        <f t="shared" ref="F20:F25" si="0">G20-$D$30</f>
        <v>4.792174872340067</v>
      </c>
      <c r="G20" s="2">
        <f t="shared" ref="G20:G25" si="1">$D$29</f>
        <v>6.5</v>
      </c>
      <c r="H20" s="2">
        <f t="shared" ref="H20:H25" si="2">G20+$D$30</f>
        <v>8.2078251276599339</v>
      </c>
      <c r="I20" s="2"/>
      <c r="J20" s="2"/>
      <c r="K20" s="2"/>
    </row>
    <row r="21" spans="1:14">
      <c r="A21" s="5">
        <v>2</v>
      </c>
      <c r="B21" s="5">
        <v>6</v>
      </c>
      <c r="C21" s="5">
        <f t="shared" ref="C21:C25" si="3">B21-$B$27</f>
        <v>-0.5</v>
      </c>
      <c r="D21" s="45">
        <f t="shared" ref="D21:D25" si="4">C21^2</f>
        <v>0.25</v>
      </c>
      <c r="E21" s="2"/>
      <c r="F21" s="2">
        <f t="shared" si="0"/>
        <v>4.792174872340067</v>
      </c>
      <c r="G21" s="2">
        <f t="shared" si="1"/>
        <v>6.5</v>
      </c>
      <c r="H21" s="2">
        <f t="shared" si="2"/>
        <v>8.2078251276599339</v>
      </c>
      <c r="I21" s="2"/>
      <c r="J21" s="2"/>
      <c r="K21" s="2"/>
    </row>
    <row r="22" spans="1:14">
      <c r="A22" s="5">
        <v>3</v>
      </c>
      <c r="B22" s="5">
        <v>8</v>
      </c>
      <c r="C22" s="5">
        <f t="shared" si="3"/>
        <v>1.5</v>
      </c>
      <c r="D22" s="45">
        <f t="shared" si="4"/>
        <v>2.25</v>
      </c>
      <c r="E22" s="2"/>
      <c r="F22" s="2">
        <f t="shared" si="0"/>
        <v>4.792174872340067</v>
      </c>
      <c r="G22" s="2">
        <f t="shared" si="1"/>
        <v>6.5</v>
      </c>
      <c r="H22" s="2">
        <f t="shared" si="2"/>
        <v>8.2078251276599339</v>
      </c>
      <c r="I22" s="2"/>
      <c r="J22" s="2"/>
      <c r="K22" s="2"/>
    </row>
    <row r="23" spans="1:14">
      <c r="A23" s="5">
        <v>4</v>
      </c>
      <c r="B23" s="5">
        <v>7</v>
      </c>
      <c r="C23" s="5">
        <f t="shared" si="3"/>
        <v>0.5</v>
      </c>
      <c r="D23" s="45">
        <f t="shared" si="4"/>
        <v>0.25</v>
      </c>
      <c r="E23" s="2"/>
      <c r="F23" s="2">
        <f t="shared" si="0"/>
        <v>4.792174872340067</v>
      </c>
      <c r="G23" s="2">
        <f t="shared" si="1"/>
        <v>6.5</v>
      </c>
      <c r="H23" s="2">
        <f t="shared" si="2"/>
        <v>8.2078251276599339</v>
      </c>
      <c r="I23" s="2"/>
      <c r="J23" s="2"/>
      <c r="K23" s="2"/>
    </row>
    <row r="24" spans="1:14">
      <c r="A24" s="5">
        <v>5</v>
      </c>
      <c r="B24" s="5">
        <v>9</v>
      </c>
      <c r="C24" s="5">
        <f t="shared" si="3"/>
        <v>2.5</v>
      </c>
      <c r="D24" s="45">
        <f t="shared" si="4"/>
        <v>6.25</v>
      </c>
      <c r="E24" s="2"/>
      <c r="F24" s="2">
        <f t="shared" si="0"/>
        <v>4.792174872340067</v>
      </c>
      <c r="G24" s="2">
        <f t="shared" si="1"/>
        <v>6.5</v>
      </c>
      <c r="H24" s="2">
        <f t="shared" si="2"/>
        <v>8.2078251276599339</v>
      </c>
      <c r="I24" s="2"/>
      <c r="J24" s="2"/>
      <c r="K24" s="2"/>
    </row>
    <row r="25" spans="1:14">
      <c r="A25" s="5">
        <v>6</v>
      </c>
      <c r="B25" s="5">
        <v>4</v>
      </c>
      <c r="C25" s="5">
        <f t="shared" si="3"/>
        <v>-2.5</v>
      </c>
      <c r="D25" s="45">
        <f t="shared" si="4"/>
        <v>6.25</v>
      </c>
      <c r="E25" s="2"/>
      <c r="F25" s="2">
        <f t="shared" si="0"/>
        <v>4.792174872340067</v>
      </c>
      <c r="G25" s="2">
        <f t="shared" si="1"/>
        <v>6.5</v>
      </c>
      <c r="H25" s="2">
        <f t="shared" si="2"/>
        <v>8.2078251276599339</v>
      </c>
      <c r="I25" s="2"/>
      <c r="J25" s="2"/>
      <c r="K25" s="2"/>
    </row>
    <row r="26" spans="1:14">
      <c r="A26" s="5" t="s">
        <v>118</v>
      </c>
      <c r="B26" s="5">
        <f>SUM(B20:B25)</f>
        <v>39</v>
      </c>
      <c r="C26" s="5">
        <f>SUM(C20:C25)</f>
        <v>0</v>
      </c>
      <c r="D26" s="5">
        <f>SUM(D20:D25)</f>
        <v>17.5</v>
      </c>
      <c r="E26" s="2"/>
      <c r="F26" s="2"/>
      <c r="H26" s="2"/>
      <c r="I26" s="2"/>
      <c r="J26" s="2"/>
      <c r="K26" s="2"/>
    </row>
    <row r="27" spans="1:14">
      <c r="A27" s="5" t="s">
        <v>157</v>
      </c>
      <c r="B27" s="5">
        <f>B26/A25</f>
        <v>6.5</v>
      </c>
      <c r="C27" s="5" t="s">
        <v>220</v>
      </c>
      <c r="D27" s="46" t="s">
        <v>159</v>
      </c>
      <c r="E27" s="2"/>
      <c r="F27" s="2"/>
      <c r="H27" s="2"/>
      <c r="I27" s="2"/>
      <c r="J27" s="2"/>
      <c r="K27" s="2"/>
    </row>
    <row r="28" spans="1:14" ht="15.6">
      <c r="A28" s="2"/>
      <c r="B28" s="2"/>
      <c r="C28" s="47" t="s">
        <v>162</v>
      </c>
      <c r="D28" s="22">
        <f>(D26/6)^0.5</f>
        <v>1.707825127659933</v>
      </c>
      <c r="E28" s="11" t="s">
        <v>160</v>
      </c>
      <c r="F28" s="2"/>
      <c r="H28" s="2"/>
      <c r="I28" s="2"/>
      <c r="J28" s="2"/>
      <c r="K28" s="2"/>
    </row>
    <row r="29" spans="1:14">
      <c r="A29" s="16" t="s">
        <v>221</v>
      </c>
      <c r="D29" s="5">
        <f>AVERAGE(B20:B25)</f>
        <v>6.5</v>
      </c>
      <c r="E29" s="2" t="s">
        <v>623</v>
      </c>
      <c r="F29" s="2"/>
      <c r="H29" s="2"/>
      <c r="I29" s="2"/>
      <c r="J29" s="2"/>
      <c r="K29" s="2"/>
    </row>
    <row r="30" spans="1:14">
      <c r="A30" s="48" t="s">
        <v>222</v>
      </c>
      <c r="D30" s="45">
        <f>STDEVP(B20:B25)</f>
        <v>1.707825127659933</v>
      </c>
      <c r="E30" s="2" t="s">
        <v>771</v>
      </c>
      <c r="N30" s="5"/>
    </row>
    <row r="31" spans="1:14">
      <c r="A31" s="48"/>
      <c r="D31" s="45"/>
      <c r="E31" s="2"/>
      <c r="N31" s="5"/>
    </row>
    <row r="32" spans="1:14">
      <c r="A32" s="2" t="s">
        <v>168</v>
      </c>
    </row>
    <row r="33" spans="1:10">
      <c r="A33" s="2" t="s">
        <v>624</v>
      </c>
    </row>
    <row r="35" spans="1:10">
      <c r="A35" s="4" t="s">
        <v>92</v>
      </c>
      <c r="C35" s="2" t="s">
        <v>167</v>
      </c>
      <c r="I35" s="51"/>
      <c r="J35" s="52"/>
    </row>
    <row r="36" spans="1:10" ht="4.5" customHeight="1">
      <c r="A36" s="4"/>
      <c r="D36" s="2"/>
      <c r="I36" s="53"/>
      <c r="J36" s="52"/>
    </row>
    <row r="37" spans="1:10">
      <c r="A37" s="2" t="s">
        <v>174</v>
      </c>
    </row>
    <row r="64" spans="1:1">
      <c r="A64" s="2" t="s">
        <v>155</v>
      </c>
    </row>
    <row r="65" spans="1:12" ht="15.6">
      <c r="A65" s="2" t="s">
        <v>664</v>
      </c>
    </row>
    <row r="66" spans="1:12">
      <c r="A66" s="2" t="s">
        <v>169</v>
      </c>
      <c r="B66" s="2"/>
      <c r="C66" s="2"/>
      <c r="D66" s="2"/>
      <c r="E66" s="2"/>
      <c r="F66" s="2"/>
      <c r="G66" s="2"/>
      <c r="H66" s="2" t="s">
        <v>170</v>
      </c>
      <c r="I66" s="49" t="s">
        <v>165</v>
      </c>
      <c r="J66" s="5" t="s">
        <v>171</v>
      </c>
      <c r="K66" s="50" t="s">
        <v>166</v>
      </c>
      <c r="L66" t="s">
        <v>172</v>
      </c>
    </row>
    <row r="67" spans="1:12">
      <c r="A67" s="2" t="s">
        <v>212</v>
      </c>
      <c r="B67" s="11" t="s">
        <v>213</v>
      </c>
      <c r="F67" s="55" t="s">
        <v>214</v>
      </c>
      <c r="G67" s="5">
        <f>NORMDIST(0,0,1,1)</f>
        <v>0.5</v>
      </c>
      <c r="H67" s="2" t="s">
        <v>218</v>
      </c>
      <c r="I67" s="67"/>
      <c r="J67" s="68"/>
      <c r="K67" s="69"/>
    </row>
    <row r="68" spans="1:12">
      <c r="A68" s="2" t="s">
        <v>217</v>
      </c>
      <c r="B68" s="16" t="s">
        <v>216</v>
      </c>
      <c r="C68" s="2"/>
      <c r="D68" s="2"/>
      <c r="E68" s="2"/>
      <c r="F68" s="55" t="s">
        <v>215</v>
      </c>
      <c r="G68" s="2">
        <f>NORMINV(0.5,0,1)</f>
        <v>-1.392137635291833E-16</v>
      </c>
      <c r="H68" s="2" t="s">
        <v>625</v>
      </c>
      <c r="I68" s="67"/>
      <c r="J68" s="68"/>
      <c r="K68" s="69"/>
    </row>
    <row r="69" spans="1:12">
      <c r="A69" s="2"/>
      <c r="B69" s="2"/>
      <c r="C69" s="2"/>
      <c r="D69" s="2"/>
      <c r="E69" s="2"/>
      <c r="F69" s="2"/>
      <c r="G69" s="2"/>
      <c r="H69" s="2"/>
      <c r="I69" s="67"/>
      <c r="J69" s="68"/>
      <c r="K69" s="69"/>
    </row>
    <row r="70" spans="1:12">
      <c r="A70" s="2" t="s">
        <v>665</v>
      </c>
    </row>
    <row r="71" spans="1:12">
      <c r="A71" s="2" t="s">
        <v>173</v>
      </c>
    </row>
    <row r="73" spans="1:12">
      <c r="A73" s="2" t="s">
        <v>770</v>
      </c>
    </row>
    <row r="74" spans="1:12">
      <c r="A74" s="2" t="s">
        <v>666</v>
      </c>
    </row>
    <row r="75" spans="1:12">
      <c r="A75" s="2" t="s">
        <v>466</v>
      </c>
    </row>
    <row r="76" spans="1:12">
      <c r="A76" s="2"/>
    </row>
    <row r="77" spans="1:12">
      <c r="A77" s="79" t="s">
        <v>460</v>
      </c>
      <c r="B77" s="2"/>
      <c r="C77" s="2"/>
      <c r="D77" s="2"/>
      <c r="E77" s="2"/>
      <c r="F77" s="2"/>
      <c r="G77" s="2"/>
      <c r="H77" s="2"/>
    </row>
    <row r="78" spans="1:12">
      <c r="A78" s="70"/>
      <c r="B78" s="2"/>
      <c r="C78" s="2"/>
      <c r="D78" s="2"/>
      <c r="E78" s="2"/>
      <c r="F78" s="2"/>
      <c r="G78" s="2"/>
      <c r="H78" s="2"/>
    </row>
    <row r="79" spans="1:12">
      <c r="A79" s="70" t="s">
        <v>452</v>
      </c>
      <c r="B79" s="2"/>
      <c r="D79" s="2" t="s">
        <v>431</v>
      </c>
      <c r="E79" s="2"/>
      <c r="F79" s="2"/>
      <c r="G79" s="2"/>
      <c r="H79" s="2"/>
    </row>
    <row r="80" spans="1:12">
      <c r="A80" s="70"/>
      <c r="B80" s="2"/>
      <c r="D80" s="2" t="s">
        <v>432</v>
      </c>
      <c r="E80" s="2"/>
      <c r="F80" s="2"/>
      <c r="G80" s="2"/>
      <c r="H80" s="2"/>
    </row>
    <row r="81" spans="1:8">
      <c r="A81" s="70" t="s">
        <v>433</v>
      </c>
      <c r="B81" s="2" t="s">
        <v>836</v>
      </c>
      <c r="C81" s="2"/>
      <c r="D81" s="2" t="s">
        <v>835</v>
      </c>
      <c r="E81" s="2"/>
      <c r="F81" s="2"/>
      <c r="G81" s="2"/>
      <c r="H81" s="2"/>
    </row>
    <row r="82" spans="1:8">
      <c r="A82" s="70"/>
      <c r="B82" s="2"/>
      <c r="C82" s="2"/>
      <c r="D82" s="2"/>
      <c r="E82" s="2"/>
      <c r="F82" s="2"/>
      <c r="G82" s="2"/>
      <c r="H82" s="2"/>
    </row>
    <row r="83" spans="1:8">
      <c r="A83" s="2" t="s">
        <v>667</v>
      </c>
      <c r="B83" s="2"/>
      <c r="C83" s="2"/>
      <c r="D83" s="2"/>
      <c r="E83" s="2"/>
      <c r="F83" s="2"/>
      <c r="H83" s="2"/>
    </row>
    <row r="84" spans="1:8">
      <c r="A84" s="2" t="s">
        <v>668</v>
      </c>
      <c r="B84" s="2"/>
      <c r="C84" s="2"/>
      <c r="D84" s="2"/>
      <c r="E84" s="2"/>
      <c r="F84" s="2"/>
      <c r="G84" s="2"/>
      <c r="H84" s="2"/>
    </row>
    <row r="85" spans="1:8">
      <c r="A85" s="2" t="s">
        <v>669</v>
      </c>
      <c r="B85" s="2"/>
      <c r="C85" s="2"/>
      <c r="D85" s="2"/>
      <c r="E85" s="2"/>
      <c r="F85" s="2"/>
      <c r="G85" s="2"/>
      <c r="H85" s="2"/>
    </row>
    <row r="86" spans="1:8">
      <c r="A86" s="2"/>
      <c r="B86" s="2"/>
      <c r="C86" s="2"/>
      <c r="D86" s="2"/>
      <c r="E86" s="2"/>
      <c r="F86" s="2"/>
      <c r="G86" s="2"/>
      <c r="H86" s="2"/>
    </row>
    <row r="87" spans="1:8">
      <c r="A87" s="2" t="s">
        <v>434</v>
      </c>
      <c r="B87" s="2"/>
      <c r="C87" s="2"/>
      <c r="D87" s="2"/>
      <c r="E87" s="2"/>
      <c r="F87" s="2"/>
      <c r="G87" s="2"/>
      <c r="H87" s="2"/>
    </row>
    <row r="88" spans="1:8">
      <c r="A88" s="2" t="s">
        <v>670</v>
      </c>
      <c r="B88" s="2"/>
      <c r="C88" s="2"/>
      <c r="D88" s="2"/>
      <c r="E88" s="2"/>
      <c r="F88" s="2"/>
      <c r="G88" s="2"/>
      <c r="H88" s="2"/>
    </row>
    <row r="90" spans="1:8">
      <c r="A90" s="144" t="s">
        <v>671</v>
      </c>
    </row>
    <row r="91" spans="1:8">
      <c r="A91" s="144" t="s">
        <v>230</v>
      </c>
    </row>
    <row r="92" spans="1:8">
      <c r="A92" s="2"/>
    </row>
    <row r="94" spans="1:8">
      <c r="A94" s="79" t="s">
        <v>461</v>
      </c>
      <c r="B94" s="2"/>
      <c r="C94" s="2"/>
      <c r="D94" s="2"/>
      <c r="E94" s="2"/>
      <c r="F94" s="2"/>
      <c r="G94" s="2" t="s">
        <v>462</v>
      </c>
      <c r="H94" s="2"/>
    </row>
    <row r="95" spans="1:8">
      <c r="A95" s="70"/>
      <c r="B95" s="2"/>
      <c r="C95" s="2"/>
      <c r="D95" s="2"/>
      <c r="E95" s="2"/>
      <c r="F95" s="2"/>
      <c r="G95" s="2"/>
      <c r="H95" s="2"/>
    </row>
    <row r="96" spans="1:8">
      <c r="A96" s="70" t="s">
        <v>231</v>
      </c>
    </row>
    <row r="97" spans="1:8">
      <c r="B97" t="s">
        <v>232</v>
      </c>
    </row>
    <row r="98" spans="1:8">
      <c r="B98" t="s">
        <v>233</v>
      </c>
    </row>
    <row r="99" spans="1:8">
      <c r="A99" s="70" t="s">
        <v>234</v>
      </c>
    </row>
    <row r="100" spans="1:8">
      <c r="B100" t="s">
        <v>235</v>
      </c>
    </row>
    <row r="101" spans="1:8">
      <c r="B101" t="s">
        <v>236</v>
      </c>
    </row>
    <row r="102" spans="1:8">
      <c r="A102" s="70" t="s">
        <v>237</v>
      </c>
    </row>
    <row r="103" spans="1:8">
      <c r="B103" t="s">
        <v>238</v>
      </c>
    </row>
    <row r="104" spans="1:8">
      <c r="B104" t="s">
        <v>239</v>
      </c>
    </row>
    <row r="105" spans="1:8">
      <c r="B105" t="s">
        <v>240</v>
      </c>
    </row>
    <row r="106" spans="1:8">
      <c r="B106" t="s">
        <v>241</v>
      </c>
    </row>
    <row r="107" spans="1:8">
      <c r="A107" s="70"/>
      <c r="B107" s="2"/>
      <c r="C107" s="2"/>
      <c r="D107" s="2"/>
      <c r="E107" s="2"/>
      <c r="F107" s="2"/>
      <c r="G107" s="2"/>
      <c r="H107" s="2"/>
    </row>
    <row r="108" spans="1:8">
      <c r="A108" s="70" t="s">
        <v>454</v>
      </c>
      <c r="B108" s="5" t="s">
        <v>294</v>
      </c>
      <c r="C108" s="2" t="s">
        <v>295</v>
      </c>
      <c r="D108" s="2"/>
      <c r="E108" s="78" t="s">
        <v>296</v>
      </c>
      <c r="F108" s="2"/>
      <c r="G108" s="5" t="s">
        <v>297</v>
      </c>
      <c r="H108" s="2"/>
    </row>
    <row r="109" spans="1:8">
      <c r="A109" s="70" t="s">
        <v>298</v>
      </c>
      <c r="B109" s="5"/>
      <c r="C109" s="2"/>
      <c r="D109" s="2"/>
      <c r="E109" s="78"/>
      <c r="F109" s="2"/>
      <c r="G109" s="2"/>
      <c r="H109" s="2"/>
    </row>
    <row r="110" spans="1:8">
      <c r="A110" s="2" t="s">
        <v>299</v>
      </c>
      <c r="B110" s="5" t="s">
        <v>300</v>
      </c>
      <c r="C110" s="5">
        <v>1</v>
      </c>
      <c r="D110" s="2"/>
      <c r="E110" s="5" t="s">
        <v>301</v>
      </c>
      <c r="F110" s="2"/>
      <c r="G110" s="2" t="s">
        <v>302</v>
      </c>
      <c r="H110" s="2"/>
    </row>
    <row r="111" spans="1:8">
      <c r="A111" s="2" t="s">
        <v>435</v>
      </c>
      <c r="B111" s="5" t="s">
        <v>303</v>
      </c>
      <c r="C111" s="5">
        <v>1</v>
      </c>
      <c r="D111" s="2"/>
      <c r="E111" s="5" t="s">
        <v>304</v>
      </c>
      <c r="F111" s="2"/>
      <c r="G111" s="2" t="s">
        <v>305</v>
      </c>
      <c r="H111" s="2"/>
    </row>
    <row r="112" spans="1:8">
      <c r="A112" s="79" t="s">
        <v>306</v>
      </c>
      <c r="B112" s="5" t="s">
        <v>307</v>
      </c>
      <c r="C112" s="5">
        <v>1</v>
      </c>
      <c r="D112" s="2"/>
      <c r="E112" s="5" t="s">
        <v>308</v>
      </c>
      <c r="F112" s="2"/>
      <c r="G112" s="2" t="s">
        <v>309</v>
      </c>
      <c r="H112" s="2"/>
    </row>
    <row r="113" spans="1:8">
      <c r="A113" s="2" t="s">
        <v>310</v>
      </c>
      <c r="B113" s="5" t="s">
        <v>311</v>
      </c>
      <c r="C113" s="5">
        <v>1</v>
      </c>
      <c r="D113" s="2"/>
      <c r="E113" s="5" t="s">
        <v>312</v>
      </c>
      <c r="F113" s="2"/>
      <c r="G113" s="2" t="s">
        <v>313</v>
      </c>
      <c r="H113" s="2"/>
    </row>
    <row r="114" spans="1:8">
      <c r="A114" s="2" t="s">
        <v>314</v>
      </c>
      <c r="B114" s="80" t="s">
        <v>315</v>
      </c>
      <c r="C114" s="11" t="s">
        <v>316</v>
      </c>
      <c r="D114" s="2"/>
      <c r="E114" s="80" t="s">
        <v>315</v>
      </c>
      <c r="F114" s="2"/>
      <c r="G114" s="11" t="s">
        <v>317</v>
      </c>
      <c r="H114" s="2"/>
    </row>
    <row r="115" spans="1:8">
      <c r="A115" s="2" t="s">
        <v>318</v>
      </c>
      <c r="B115" s="5" t="s">
        <v>319</v>
      </c>
      <c r="C115" s="16" t="s">
        <v>320</v>
      </c>
      <c r="D115" s="55"/>
      <c r="E115" s="80" t="s">
        <v>321</v>
      </c>
      <c r="F115" s="55" t="s">
        <v>322</v>
      </c>
      <c r="G115" s="2" t="s">
        <v>323</v>
      </c>
      <c r="H115" s="2"/>
    </row>
    <row r="116" spans="1:8">
      <c r="A116" s="2" t="s">
        <v>324</v>
      </c>
      <c r="B116" s="81" t="s">
        <v>436</v>
      </c>
      <c r="C116" s="5" t="s">
        <v>325</v>
      </c>
      <c r="D116" s="2"/>
      <c r="E116" s="5">
        <v>0</v>
      </c>
      <c r="F116" s="2"/>
      <c r="G116" s="2" t="s">
        <v>326</v>
      </c>
      <c r="H116" s="2"/>
    </row>
    <row r="117" spans="1:8">
      <c r="A117" s="2"/>
      <c r="B117" s="81"/>
      <c r="C117" s="5"/>
      <c r="D117" s="5"/>
      <c r="E117" s="2"/>
      <c r="F117" s="2" t="s">
        <v>327</v>
      </c>
      <c r="G117" s="2"/>
      <c r="H117" s="2"/>
    </row>
    <row r="118" spans="1:8">
      <c r="A118" s="2" t="s">
        <v>328</v>
      </c>
      <c r="B118" s="82" t="s">
        <v>437</v>
      </c>
      <c r="C118" s="5"/>
      <c r="D118" s="5"/>
      <c r="E118" s="2"/>
      <c r="F118" s="2"/>
      <c r="G118" s="2"/>
      <c r="H118" s="2"/>
    </row>
    <row r="119" spans="1:8" ht="15.6">
      <c r="A119" s="2" t="s">
        <v>329</v>
      </c>
      <c r="B119" s="70"/>
      <c r="C119" s="5"/>
      <c r="D119" s="2"/>
      <c r="E119" s="2"/>
      <c r="F119" s="2" t="s">
        <v>438</v>
      </c>
      <c r="G119" s="2"/>
      <c r="H119" s="2"/>
    </row>
    <row r="120" spans="1:8">
      <c r="A120" s="10" t="s">
        <v>330</v>
      </c>
      <c r="B120" s="2"/>
      <c r="C120" s="5"/>
      <c r="D120" s="2"/>
      <c r="E120" s="2"/>
      <c r="F120" s="2"/>
      <c r="G120" s="2" t="s">
        <v>331</v>
      </c>
      <c r="H120" s="2"/>
    </row>
    <row r="121" spans="1:8">
      <c r="A121" s="2" t="s">
        <v>332</v>
      </c>
      <c r="B121" s="5"/>
      <c r="C121" s="5"/>
      <c r="D121" s="2"/>
      <c r="E121" s="2"/>
      <c r="F121" s="2"/>
      <c r="G121" s="2"/>
      <c r="H121" s="2"/>
    </row>
    <row r="122" spans="1:8">
      <c r="A122" s="2"/>
      <c r="B122" s="2"/>
      <c r="C122" s="2"/>
      <c r="D122" s="2"/>
      <c r="E122" s="2"/>
      <c r="F122" s="2"/>
      <c r="G122" s="2"/>
      <c r="H122" s="2"/>
    </row>
    <row r="123" spans="1:8">
      <c r="A123" s="70" t="s">
        <v>456</v>
      </c>
      <c r="B123" s="5" t="s">
        <v>333</v>
      </c>
      <c r="C123" s="2" t="s">
        <v>334</v>
      </c>
      <c r="D123" s="5" t="s">
        <v>335</v>
      </c>
      <c r="E123" s="5" t="s">
        <v>336</v>
      </c>
      <c r="F123" s="5" t="s">
        <v>337</v>
      </c>
      <c r="G123" s="192" t="s">
        <v>338</v>
      </c>
      <c r="H123" s="192"/>
    </row>
    <row r="124" spans="1:8">
      <c r="A124" s="70" t="s">
        <v>455</v>
      </c>
      <c r="B124" s="5"/>
      <c r="C124" s="2"/>
      <c r="D124" s="5"/>
      <c r="E124" s="5"/>
      <c r="F124" s="2"/>
      <c r="G124" s="10"/>
      <c r="H124" s="10"/>
    </row>
    <row r="125" spans="1:8">
      <c r="A125" s="2" t="s">
        <v>439</v>
      </c>
      <c r="B125" s="5" t="s">
        <v>339</v>
      </c>
      <c r="C125" s="5" t="s">
        <v>340</v>
      </c>
      <c r="D125" s="5" t="s">
        <v>341</v>
      </c>
      <c r="E125" s="5" t="s">
        <v>342</v>
      </c>
      <c r="F125" s="5" t="s">
        <v>343</v>
      </c>
      <c r="G125" s="192" t="s">
        <v>344</v>
      </c>
      <c r="H125" s="192"/>
    </row>
    <row r="126" spans="1:8">
      <c r="A126" s="2" t="s">
        <v>345</v>
      </c>
      <c r="B126" s="5" t="s">
        <v>346</v>
      </c>
      <c r="C126" s="5" t="s">
        <v>347</v>
      </c>
      <c r="D126" s="5" t="s">
        <v>348</v>
      </c>
      <c r="E126" s="5" t="s">
        <v>349</v>
      </c>
      <c r="F126" s="5" t="s">
        <v>350</v>
      </c>
      <c r="G126" s="192" t="s">
        <v>351</v>
      </c>
      <c r="H126" s="192"/>
    </row>
    <row r="127" spans="1:8">
      <c r="A127" s="2" t="s">
        <v>352</v>
      </c>
      <c r="B127" s="5" t="s">
        <v>353</v>
      </c>
      <c r="C127" s="5" t="s">
        <v>354</v>
      </c>
      <c r="D127" s="5" t="s">
        <v>355</v>
      </c>
      <c r="E127" s="5" t="s">
        <v>356</v>
      </c>
      <c r="F127" s="5" t="s">
        <v>357</v>
      </c>
      <c r="G127" s="192" t="s">
        <v>358</v>
      </c>
      <c r="H127" s="192"/>
    </row>
    <row r="128" spans="1:8">
      <c r="A128" s="2" t="s">
        <v>440</v>
      </c>
      <c r="B128" s="5" t="s">
        <v>359</v>
      </c>
      <c r="C128" s="5" t="s">
        <v>360</v>
      </c>
      <c r="D128" s="5" t="s">
        <v>361</v>
      </c>
      <c r="E128" s="5" t="s">
        <v>362</v>
      </c>
      <c r="F128" s="5" t="s">
        <v>363</v>
      </c>
      <c r="G128" s="192" t="s">
        <v>364</v>
      </c>
      <c r="H128" s="192"/>
    </row>
    <row r="129" spans="1:8">
      <c r="A129" s="79" t="s">
        <v>306</v>
      </c>
      <c r="B129" s="80" t="s">
        <v>315</v>
      </c>
      <c r="C129" s="11" t="s">
        <v>315</v>
      </c>
      <c r="D129" s="80" t="s">
        <v>315</v>
      </c>
      <c r="E129" s="80" t="s">
        <v>315</v>
      </c>
      <c r="F129" s="80" t="s">
        <v>315</v>
      </c>
      <c r="G129" s="191" t="s">
        <v>365</v>
      </c>
      <c r="H129" s="191"/>
    </row>
    <row r="130" spans="1:8">
      <c r="A130" s="2" t="s">
        <v>366</v>
      </c>
      <c r="B130" s="10" t="s">
        <v>367</v>
      </c>
      <c r="C130" s="5" t="s">
        <v>368</v>
      </c>
      <c r="D130" s="80" t="s">
        <v>369</v>
      </c>
      <c r="E130" s="80" t="s">
        <v>370</v>
      </c>
      <c r="F130" s="5" t="s">
        <v>371</v>
      </c>
      <c r="G130" s="191" t="s">
        <v>372</v>
      </c>
      <c r="H130" s="192"/>
    </row>
    <row r="131" spans="1:8">
      <c r="A131" s="2" t="s">
        <v>373</v>
      </c>
      <c r="B131" s="81" t="s">
        <v>441</v>
      </c>
      <c r="C131" s="5" t="s">
        <v>325</v>
      </c>
      <c r="D131" s="81" t="s">
        <v>442</v>
      </c>
      <c r="E131" s="5">
        <v>0</v>
      </c>
      <c r="F131" s="77" t="s">
        <v>374</v>
      </c>
      <c r="G131" s="192" t="s">
        <v>375</v>
      </c>
      <c r="H131" s="192"/>
    </row>
    <row r="132" spans="1:8">
      <c r="A132" s="2"/>
      <c r="B132" s="81"/>
      <c r="C132" s="2"/>
      <c r="D132" s="70"/>
      <c r="E132" s="5"/>
      <c r="F132" s="77" t="s">
        <v>376</v>
      </c>
      <c r="G132" s="5"/>
      <c r="H132" s="5"/>
    </row>
    <row r="133" spans="1:8">
      <c r="A133" s="2"/>
      <c r="B133" s="70"/>
      <c r="C133" s="70" t="s">
        <v>377</v>
      </c>
      <c r="D133" s="2"/>
      <c r="E133" s="5"/>
      <c r="F133" s="77" t="s">
        <v>378</v>
      </c>
      <c r="G133" s="5"/>
      <c r="H133" s="5"/>
    </row>
    <row r="134" spans="1:8">
      <c r="A134" s="2"/>
      <c r="B134" s="70"/>
      <c r="C134" s="5"/>
      <c r="D134" s="70"/>
      <c r="E134" s="5"/>
      <c r="F134" s="77" t="s">
        <v>379</v>
      </c>
      <c r="G134" s="5"/>
      <c r="H134" s="5"/>
    </row>
    <row r="135" spans="1:8">
      <c r="A135" s="2" t="s">
        <v>380</v>
      </c>
      <c r="B135" s="70" t="s">
        <v>443</v>
      </c>
      <c r="C135" s="83" t="s">
        <v>444</v>
      </c>
      <c r="D135" s="2"/>
      <c r="E135" s="2"/>
      <c r="F135" s="2"/>
      <c r="G135" s="5"/>
      <c r="H135" s="5"/>
    </row>
    <row r="136" spans="1:8" ht="17.399999999999999">
      <c r="A136" s="2" t="s">
        <v>329</v>
      </c>
      <c r="B136" s="70"/>
      <c r="C136" s="5"/>
      <c r="D136" s="2"/>
      <c r="E136" s="2"/>
      <c r="F136" s="2" t="s">
        <v>445</v>
      </c>
      <c r="G136" s="2"/>
      <c r="H136" s="5"/>
    </row>
    <row r="137" spans="1:8">
      <c r="A137" s="2"/>
      <c r="B137" s="70"/>
      <c r="C137" s="2" t="s">
        <v>381</v>
      </c>
      <c r="D137" s="2"/>
      <c r="E137" s="2"/>
      <c r="F137" s="2"/>
      <c r="G137" s="8" t="s">
        <v>446</v>
      </c>
      <c r="H137" s="5"/>
    </row>
    <row r="138" spans="1:8">
      <c r="A138" s="2"/>
      <c r="B138" s="70"/>
      <c r="C138" s="10" t="s">
        <v>382</v>
      </c>
      <c r="D138" s="2"/>
      <c r="E138" s="2"/>
      <c r="F138" s="2"/>
      <c r="G138" s="2"/>
      <c r="H138" s="2"/>
    </row>
    <row r="139" spans="1:8">
      <c r="A139" s="2"/>
      <c r="B139" s="5"/>
      <c r="C139" s="2"/>
      <c r="D139" s="2"/>
      <c r="E139" s="2"/>
      <c r="F139" s="2"/>
      <c r="G139" s="2"/>
      <c r="H139" s="5"/>
    </row>
    <row r="140" spans="1:8">
      <c r="A140" s="70" t="s">
        <v>457</v>
      </c>
      <c r="B140" s="5" t="s">
        <v>383</v>
      </c>
      <c r="C140" s="5" t="s">
        <v>384</v>
      </c>
      <c r="D140" s="2" t="s">
        <v>385</v>
      </c>
      <c r="E140" s="2" t="s">
        <v>336</v>
      </c>
      <c r="F140" s="5" t="s">
        <v>337</v>
      </c>
      <c r="G140" s="10" t="s">
        <v>386</v>
      </c>
      <c r="H140" s="2"/>
    </row>
    <row r="141" spans="1:8">
      <c r="A141" s="2" t="s">
        <v>459</v>
      </c>
      <c r="B141" s="5"/>
      <c r="C141" s="5"/>
      <c r="D141" s="2"/>
      <c r="E141" s="2"/>
      <c r="F141" s="2"/>
      <c r="G141" s="10"/>
      <c r="H141" s="2"/>
    </row>
    <row r="142" spans="1:8">
      <c r="A142" s="2" t="s">
        <v>458</v>
      </c>
      <c r="B142" s="5" t="s">
        <v>339</v>
      </c>
      <c r="C142" s="5" t="s">
        <v>387</v>
      </c>
      <c r="D142" s="2" t="s">
        <v>388</v>
      </c>
      <c r="E142" s="2" t="s">
        <v>389</v>
      </c>
      <c r="F142" s="5" t="s">
        <v>390</v>
      </c>
      <c r="G142" s="10" t="s">
        <v>391</v>
      </c>
      <c r="H142" s="2"/>
    </row>
    <row r="143" spans="1:8">
      <c r="A143" s="2"/>
      <c r="B143" s="5" t="s">
        <v>346</v>
      </c>
      <c r="C143" s="5" t="s">
        <v>392</v>
      </c>
      <c r="D143" s="2" t="s">
        <v>393</v>
      </c>
      <c r="E143" s="2" t="s">
        <v>394</v>
      </c>
      <c r="F143" s="5" t="s">
        <v>395</v>
      </c>
      <c r="G143" s="10" t="s">
        <v>396</v>
      </c>
      <c r="H143" s="2"/>
    </row>
    <row r="144" spans="1:8">
      <c r="A144" s="2" t="s">
        <v>397</v>
      </c>
      <c r="B144" s="5" t="s">
        <v>353</v>
      </c>
      <c r="C144" s="5" t="s">
        <v>398</v>
      </c>
      <c r="D144" s="2" t="s">
        <v>399</v>
      </c>
      <c r="E144" s="2" t="s">
        <v>400</v>
      </c>
      <c r="F144" s="5" t="s">
        <v>401</v>
      </c>
      <c r="G144" s="10" t="s">
        <v>402</v>
      </c>
      <c r="H144" s="2"/>
    </row>
    <row r="145" spans="1:8">
      <c r="A145" s="2" t="s">
        <v>447</v>
      </c>
      <c r="B145" s="5" t="s">
        <v>359</v>
      </c>
      <c r="C145" s="5" t="s">
        <v>403</v>
      </c>
      <c r="D145" s="2" t="s">
        <v>404</v>
      </c>
      <c r="E145" s="2" t="s">
        <v>405</v>
      </c>
      <c r="F145" s="5" t="s">
        <v>406</v>
      </c>
      <c r="G145" s="10" t="s">
        <v>407</v>
      </c>
      <c r="H145" s="2"/>
    </row>
    <row r="146" spans="1:8">
      <c r="A146" s="2" t="s">
        <v>672</v>
      </c>
      <c r="B146" s="80" t="s">
        <v>315</v>
      </c>
      <c r="C146" s="80" t="s">
        <v>315</v>
      </c>
      <c r="D146" s="11" t="s">
        <v>315</v>
      </c>
      <c r="E146" s="11" t="s">
        <v>408</v>
      </c>
      <c r="F146" s="11" t="s">
        <v>408</v>
      </c>
      <c r="G146" s="11" t="s">
        <v>408</v>
      </c>
      <c r="H146" s="2"/>
    </row>
    <row r="147" spans="1:8">
      <c r="A147" s="70" t="s">
        <v>409</v>
      </c>
      <c r="B147" s="80" t="s">
        <v>410</v>
      </c>
      <c r="C147" s="80" t="s">
        <v>411</v>
      </c>
      <c r="D147" s="2" t="s">
        <v>412</v>
      </c>
      <c r="E147" s="11" t="s">
        <v>413</v>
      </c>
      <c r="F147" s="5" t="s">
        <v>414</v>
      </c>
      <c r="G147" s="16" t="s">
        <v>415</v>
      </c>
      <c r="H147" s="2"/>
    </row>
    <row r="148" spans="1:8">
      <c r="A148" s="77" t="s">
        <v>416</v>
      </c>
      <c r="B148" s="81" t="s">
        <v>448</v>
      </c>
      <c r="C148" s="5">
        <v>1</v>
      </c>
      <c r="D148" s="70" t="s">
        <v>449</v>
      </c>
      <c r="E148" s="5">
        <v>0</v>
      </c>
      <c r="F148" s="77" t="s">
        <v>374</v>
      </c>
      <c r="G148" s="10" t="s">
        <v>417</v>
      </c>
      <c r="H148" s="2"/>
    </row>
    <row r="149" spans="1:8">
      <c r="A149" s="70" t="s">
        <v>418</v>
      </c>
      <c r="B149" s="70"/>
      <c r="C149" s="10"/>
      <c r="D149" s="70"/>
      <c r="E149" s="2"/>
      <c r="F149" s="77" t="s">
        <v>419</v>
      </c>
      <c r="G149" s="2" t="s">
        <v>420</v>
      </c>
      <c r="H149" s="2"/>
    </row>
    <row r="150" spans="1:8">
      <c r="A150" s="2"/>
      <c r="B150" s="2"/>
      <c r="C150" s="70" t="s">
        <v>421</v>
      </c>
      <c r="D150" s="2"/>
      <c r="E150" s="2"/>
      <c r="F150" s="77" t="s">
        <v>378</v>
      </c>
      <c r="G150" s="2" t="s">
        <v>422</v>
      </c>
      <c r="H150" s="2"/>
    </row>
    <row r="151" spans="1:8">
      <c r="A151" s="2"/>
      <c r="B151" s="2"/>
      <c r="C151" s="2"/>
      <c r="D151" s="2"/>
      <c r="E151" s="2"/>
      <c r="F151" s="77" t="s">
        <v>379</v>
      </c>
      <c r="G151" s="2"/>
      <c r="H151" s="2"/>
    </row>
    <row r="152" spans="1:8" ht="15.6">
      <c r="A152" s="2" t="s">
        <v>423</v>
      </c>
      <c r="B152" s="83" t="s">
        <v>450</v>
      </c>
      <c r="C152" s="70" t="s">
        <v>424</v>
      </c>
      <c r="D152" s="70" t="s">
        <v>425</v>
      </c>
      <c r="E152" s="2"/>
      <c r="F152" s="5"/>
      <c r="G152" s="2"/>
      <c r="H152" s="2"/>
    </row>
    <row r="153" spans="1:8" ht="15.6">
      <c r="A153" s="2" t="s">
        <v>426</v>
      </c>
      <c r="B153" s="2"/>
      <c r="C153" s="70" t="s">
        <v>424</v>
      </c>
      <c r="D153" s="70" t="s">
        <v>427</v>
      </c>
      <c r="E153" s="2"/>
      <c r="F153" s="5"/>
      <c r="G153" s="2"/>
      <c r="H153" s="2"/>
    </row>
    <row r="154" spans="1:8" ht="17.399999999999999">
      <c r="A154" s="2" t="s">
        <v>329</v>
      </c>
      <c r="B154" s="2"/>
      <c r="C154" s="2"/>
      <c r="D154" s="2"/>
      <c r="E154" s="2"/>
      <c r="F154" s="2" t="s">
        <v>451</v>
      </c>
      <c r="G154" s="5"/>
      <c r="H154" s="2"/>
    </row>
    <row r="155" spans="1:8" ht="15.6">
      <c r="A155" s="2"/>
      <c r="B155" s="2"/>
      <c r="C155" s="2" t="s">
        <v>428</v>
      </c>
      <c r="D155" s="2"/>
      <c r="E155" s="2"/>
      <c r="F155" s="2"/>
      <c r="G155" s="2" t="s">
        <v>429</v>
      </c>
      <c r="H155" s="2"/>
    </row>
    <row r="156" spans="1:8">
      <c r="A156" s="2"/>
      <c r="B156" s="2"/>
      <c r="C156" s="2" t="s">
        <v>430</v>
      </c>
      <c r="D156" s="2"/>
      <c r="E156" s="2"/>
      <c r="F156" s="2"/>
      <c r="G156" s="2"/>
      <c r="H156" s="2"/>
    </row>
    <row r="157" spans="1:8">
      <c r="A157" s="2"/>
      <c r="B157" s="2"/>
      <c r="C157" s="2"/>
      <c r="D157" s="2"/>
      <c r="E157" s="2"/>
      <c r="F157" s="2"/>
      <c r="G157" s="2"/>
      <c r="H157" s="2"/>
    </row>
    <row r="158" spans="1:8">
      <c r="A158" s="2"/>
      <c r="B158" s="2"/>
      <c r="C158" s="2"/>
      <c r="D158" s="2"/>
      <c r="E158" s="2"/>
      <c r="F158" s="2"/>
      <c r="G158" s="2"/>
      <c r="H158" s="2"/>
    </row>
    <row r="159" spans="1:8">
      <c r="A159" s="79" t="s">
        <v>465</v>
      </c>
      <c r="G159" s="2" t="s">
        <v>462</v>
      </c>
    </row>
    <row r="160" spans="1:8">
      <c r="A160" s="70"/>
    </row>
    <row r="161" spans="1:8">
      <c r="A161" s="2" t="s">
        <v>247</v>
      </c>
      <c r="F161" t="s">
        <v>261</v>
      </c>
    </row>
    <row r="162" spans="1:8">
      <c r="A162" t="s">
        <v>262</v>
      </c>
      <c r="B162" t="s">
        <v>263</v>
      </c>
      <c r="C162" t="s">
        <v>264</v>
      </c>
      <c r="D162" t="s">
        <v>265</v>
      </c>
      <c r="E162" t="s">
        <v>266</v>
      </c>
      <c r="F162" t="s">
        <v>267</v>
      </c>
      <c r="G162" t="s">
        <v>268</v>
      </c>
    </row>
    <row r="163" spans="1:8">
      <c r="A163">
        <v>50</v>
      </c>
      <c r="B163" s="1">
        <v>60</v>
      </c>
      <c r="C163" s="1">
        <f t="shared" ref="C163:C168" si="5">(B163+A163)/2</f>
        <v>55</v>
      </c>
      <c r="D163" s="1">
        <v>2</v>
      </c>
      <c r="E163" s="1">
        <f>D163</f>
        <v>2</v>
      </c>
      <c r="F163" s="87">
        <f>D163/$E$168</f>
        <v>3.5087719298245612E-2</v>
      </c>
      <c r="G163" s="87">
        <f>E163/$E$168</f>
        <v>3.5087719298245612E-2</v>
      </c>
    </row>
    <row r="164" spans="1:8">
      <c r="A164">
        <f t="shared" ref="A164:B168" si="6">A163+10</f>
        <v>60</v>
      </c>
      <c r="B164" s="1">
        <f t="shared" si="6"/>
        <v>70</v>
      </c>
      <c r="C164" s="1">
        <f t="shared" si="5"/>
        <v>65</v>
      </c>
      <c r="D164" s="1">
        <v>9</v>
      </c>
      <c r="E164" s="1">
        <f>E163+D164</f>
        <v>11</v>
      </c>
      <c r="F164" s="87">
        <f t="shared" ref="F164:F168" si="7">D164/$E$168</f>
        <v>0.15789473684210525</v>
      </c>
      <c r="G164" s="87">
        <f t="shared" ref="G164:G168" si="8">E164/$E$168</f>
        <v>0.19298245614035087</v>
      </c>
    </row>
    <row r="165" spans="1:8">
      <c r="A165">
        <f t="shared" si="6"/>
        <v>70</v>
      </c>
      <c r="B165" s="1">
        <f t="shared" si="6"/>
        <v>80</v>
      </c>
      <c r="C165" s="1">
        <f t="shared" si="5"/>
        <v>75</v>
      </c>
      <c r="D165" s="1">
        <v>20</v>
      </c>
      <c r="E165" s="1">
        <f>E164+D165</f>
        <v>31</v>
      </c>
      <c r="F165" s="87">
        <f t="shared" si="7"/>
        <v>0.35087719298245612</v>
      </c>
      <c r="G165" s="87">
        <f t="shared" si="8"/>
        <v>0.54385964912280704</v>
      </c>
    </row>
    <row r="166" spans="1:8">
      <c r="A166">
        <f t="shared" si="6"/>
        <v>80</v>
      </c>
      <c r="B166" s="1">
        <f t="shared" si="6"/>
        <v>90</v>
      </c>
      <c r="C166" s="1">
        <f t="shared" si="5"/>
        <v>85</v>
      </c>
      <c r="D166" s="1">
        <v>18</v>
      </c>
      <c r="E166" s="1">
        <f>E165+D166</f>
        <v>49</v>
      </c>
      <c r="F166" s="87">
        <f t="shared" si="7"/>
        <v>0.31578947368421051</v>
      </c>
      <c r="G166" s="87">
        <f t="shared" si="8"/>
        <v>0.85964912280701755</v>
      </c>
    </row>
    <row r="167" spans="1:8">
      <c r="A167">
        <f t="shared" si="6"/>
        <v>90</v>
      </c>
      <c r="B167" s="1">
        <f t="shared" si="6"/>
        <v>100</v>
      </c>
      <c r="C167" s="1">
        <f t="shared" si="5"/>
        <v>95</v>
      </c>
      <c r="D167" s="1">
        <v>5</v>
      </c>
      <c r="E167" s="1">
        <f>E166+D167</f>
        <v>54</v>
      </c>
      <c r="F167" s="87">
        <f t="shared" si="7"/>
        <v>8.771929824561403E-2</v>
      </c>
      <c r="G167" s="87">
        <f t="shared" si="8"/>
        <v>0.94736842105263153</v>
      </c>
    </row>
    <row r="168" spans="1:8">
      <c r="A168">
        <f t="shared" si="6"/>
        <v>100</v>
      </c>
      <c r="B168" s="1">
        <f t="shared" si="6"/>
        <v>110</v>
      </c>
      <c r="C168" s="1">
        <f t="shared" si="5"/>
        <v>105</v>
      </c>
      <c r="D168" s="1">
        <v>3</v>
      </c>
      <c r="E168" s="1">
        <f>E167+D168</f>
        <v>57</v>
      </c>
      <c r="F168" s="87">
        <f t="shared" si="7"/>
        <v>5.2631578947368418E-2</v>
      </c>
      <c r="G168" s="87">
        <f t="shared" si="8"/>
        <v>1</v>
      </c>
    </row>
    <row r="169" spans="1:8">
      <c r="B169" s="1"/>
      <c r="C169" s="1"/>
      <c r="D169" s="81">
        <f>SUM(D163:D168)</f>
        <v>57</v>
      </c>
      <c r="E169" s="1"/>
    </row>
    <row r="170" spans="1:8">
      <c r="B170" s="70" t="s">
        <v>673</v>
      </c>
    </row>
    <row r="172" spans="1:8">
      <c r="D172" t="s">
        <v>269</v>
      </c>
    </row>
    <row r="173" spans="1:8">
      <c r="A173" s="70" t="s">
        <v>249</v>
      </c>
      <c r="C173" s="81" t="s">
        <v>264</v>
      </c>
      <c r="D173" s="6" t="s">
        <v>265</v>
      </c>
      <c r="E173" s="1" t="s">
        <v>270</v>
      </c>
      <c r="F173" s="1" t="s">
        <v>271</v>
      </c>
      <c r="G173" s="1" t="s">
        <v>272</v>
      </c>
      <c r="H173" s="1" t="s">
        <v>273</v>
      </c>
    </row>
    <row r="174" spans="1:8">
      <c r="A174" t="s">
        <v>274</v>
      </c>
      <c r="C174" s="1">
        <f t="shared" ref="C174:C179" si="9">C163</f>
        <v>55</v>
      </c>
      <c r="D174" s="1">
        <v>2</v>
      </c>
      <c r="E174" s="1">
        <f t="shared" ref="E174:E179" si="10">D174*C174</f>
        <v>110</v>
      </c>
      <c r="F174" s="85">
        <f>C174-$E$183</f>
        <v>-24.21052631578948</v>
      </c>
      <c r="G174" s="85">
        <f t="shared" ref="G174:G179" si="11">D174*F174</f>
        <v>-48.421052631578959</v>
      </c>
      <c r="H174" s="1">
        <f t="shared" ref="H174:H179" si="12">D174*F174^2</f>
        <v>1172.2991689750697</v>
      </c>
    </row>
    <row r="175" spans="1:8">
      <c r="A175" t="s">
        <v>275</v>
      </c>
      <c r="C175" s="1">
        <f t="shared" si="9"/>
        <v>65</v>
      </c>
      <c r="D175" s="1">
        <v>9</v>
      </c>
      <c r="E175" s="1">
        <f t="shared" si="10"/>
        <v>585</v>
      </c>
      <c r="F175" s="85">
        <f t="shared" ref="F175:F179" si="13">C175-$E$183</f>
        <v>-14.21052631578948</v>
      </c>
      <c r="G175" s="85">
        <f t="shared" si="11"/>
        <v>-127.89473684210532</v>
      </c>
      <c r="H175" s="1">
        <f t="shared" si="12"/>
        <v>1817.4515235457079</v>
      </c>
    </row>
    <row r="176" spans="1:8">
      <c r="A176" t="s">
        <v>276</v>
      </c>
      <c r="C176" s="1">
        <f t="shared" si="9"/>
        <v>75</v>
      </c>
      <c r="D176" s="1">
        <v>20</v>
      </c>
      <c r="E176" s="1">
        <f t="shared" si="10"/>
        <v>1500</v>
      </c>
      <c r="F176" s="85">
        <f t="shared" si="13"/>
        <v>-4.2105263157894797</v>
      </c>
      <c r="G176" s="85">
        <f t="shared" si="11"/>
        <v>-84.210526315789593</v>
      </c>
      <c r="H176" s="1">
        <f t="shared" si="12"/>
        <v>354.57063711911462</v>
      </c>
    </row>
    <row r="177" spans="1:9">
      <c r="C177" s="1">
        <f t="shared" si="9"/>
        <v>85</v>
      </c>
      <c r="D177" s="1">
        <v>18</v>
      </c>
      <c r="E177" s="1">
        <f t="shared" si="10"/>
        <v>1530</v>
      </c>
      <c r="F177" s="85">
        <f t="shared" si="13"/>
        <v>5.7894736842105203</v>
      </c>
      <c r="G177" s="85">
        <f t="shared" si="11"/>
        <v>104.21052631578937</v>
      </c>
      <c r="H177" s="1">
        <f t="shared" si="12"/>
        <v>603.32409972299047</v>
      </c>
    </row>
    <row r="178" spans="1:9">
      <c r="A178" s="70" t="s">
        <v>277</v>
      </c>
      <c r="C178" s="1">
        <f t="shared" si="9"/>
        <v>95</v>
      </c>
      <c r="D178" s="1">
        <v>5</v>
      </c>
      <c r="E178" s="1">
        <f t="shared" si="10"/>
        <v>475</v>
      </c>
      <c r="F178" s="85">
        <f t="shared" si="13"/>
        <v>15.78947368421052</v>
      </c>
      <c r="G178" s="85">
        <f t="shared" si="11"/>
        <v>78.947368421052602</v>
      </c>
      <c r="H178" s="1">
        <f t="shared" si="12"/>
        <v>1246.5373961218827</v>
      </c>
    </row>
    <row r="179" spans="1:9">
      <c r="A179" s="70" t="s">
        <v>278</v>
      </c>
      <c r="C179" s="1">
        <f t="shared" si="9"/>
        <v>105</v>
      </c>
      <c r="D179" s="1">
        <v>3</v>
      </c>
      <c r="E179" s="1">
        <f t="shared" si="10"/>
        <v>315</v>
      </c>
      <c r="F179" s="85">
        <f t="shared" si="13"/>
        <v>25.78947368421052</v>
      </c>
      <c r="G179" s="85">
        <f t="shared" si="11"/>
        <v>77.368421052631561</v>
      </c>
      <c r="H179" s="1">
        <f t="shared" si="12"/>
        <v>1995.2908587257607</v>
      </c>
    </row>
    <row r="180" spans="1:9">
      <c r="C180" s="1" t="s">
        <v>125</v>
      </c>
      <c r="D180" s="81">
        <f>SUM(D174:D179)</f>
        <v>57</v>
      </c>
      <c r="E180" s="81">
        <f>SUM(E174:E179)</f>
        <v>4515</v>
      </c>
      <c r="F180" s="84"/>
      <c r="G180" s="86">
        <v>0</v>
      </c>
      <c r="H180" s="81">
        <f>SUM(H174:H179)</f>
        <v>7189.4736842105258</v>
      </c>
    </row>
    <row r="181" spans="1:9">
      <c r="H181" s="72" t="s">
        <v>279</v>
      </c>
    </row>
    <row r="182" spans="1:9">
      <c r="D182" s="71" t="s">
        <v>280</v>
      </c>
      <c r="E182" s="54" t="s">
        <v>281</v>
      </c>
      <c r="G182" t="s">
        <v>282</v>
      </c>
      <c r="H182" s="54" t="s">
        <v>283</v>
      </c>
    </row>
    <row r="183" spans="1:9">
      <c r="D183" s="72" t="s">
        <v>284</v>
      </c>
      <c r="E183" s="73">
        <f>E180/D180</f>
        <v>79.21052631578948</v>
      </c>
      <c r="G183" s="72" t="s">
        <v>284</v>
      </c>
      <c r="H183" s="74">
        <f>(H180 /D180)^0.5</f>
        <v>11.230811068967874</v>
      </c>
    </row>
    <row r="185" spans="1:9">
      <c r="A185" s="70" t="s">
        <v>285</v>
      </c>
      <c r="C185" s="1" t="s">
        <v>264</v>
      </c>
      <c r="D185" s="1" t="s">
        <v>286</v>
      </c>
      <c r="E185" s="1" t="s">
        <v>287</v>
      </c>
      <c r="F185" s="1" t="s">
        <v>288</v>
      </c>
      <c r="G185" s="1" t="s">
        <v>271</v>
      </c>
      <c r="H185" s="6" t="s">
        <v>289</v>
      </c>
    </row>
    <row r="186" spans="1:9">
      <c r="A186" t="s">
        <v>274</v>
      </c>
      <c r="C186" s="1">
        <f t="shared" ref="C186:C191" si="14">C174</f>
        <v>55</v>
      </c>
      <c r="D186" s="1">
        <v>2</v>
      </c>
      <c r="E186" s="89">
        <f>F163</f>
        <v>3.5087719298245612E-2</v>
      </c>
      <c r="F186" s="1">
        <f t="shared" ref="F186:F191" si="15">E186*C186</f>
        <v>1.9298245614035086</v>
      </c>
      <c r="G186" s="85">
        <f>C186-$F$192</f>
        <v>-24.210526315789465</v>
      </c>
      <c r="H186" s="85">
        <f>E186*G186^2</f>
        <v>20.566652087281899</v>
      </c>
    </row>
    <row r="187" spans="1:9">
      <c r="A187" t="s">
        <v>290</v>
      </c>
      <c r="C187" s="1">
        <f t="shared" si="14"/>
        <v>65</v>
      </c>
      <c r="D187" s="1">
        <v>9</v>
      </c>
      <c r="E187" s="89">
        <f t="shared" ref="E187:E191" si="16">F164</f>
        <v>0.15789473684210525</v>
      </c>
      <c r="F187" s="1">
        <f t="shared" si="15"/>
        <v>10.263157894736841</v>
      </c>
      <c r="G187" s="85">
        <f t="shared" ref="G187:G191" si="17">C187-$F$192</f>
        <v>-14.210526315789465</v>
      </c>
      <c r="H187" s="85">
        <f t="shared" ref="H187:H191" si="18">E187*G187^2</f>
        <v>31.885114448170249</v>
      </c>
    </row>
    <row r="188" spans="1:9">
      <c r="C188" s="1">
        <f t="shared" si="14"/>
        <v>75</v>
      </c>
      <c r="D188" s="1">
        <v>20</v>
      </c>
      <c r="E188" s="89">
        <f t="shared" si="16"/>
        <v>0.35087719298245612</v>
      </c>
      <c r="F188" s="1">
        <f t="shared" si="15"/>
        <v>26.315789473684209</v>
      </c>
      <c r="G188" s="85">
        <f t="shared" si="17"/>
        <v>-4.2105263157894655</v>
      </c>
      <c r="H188" s="85">
        <f t="shared" si="18"/>
        <v>6.2205374933177575</v>
      </c>
    </row>
    <row r="189" spans="1:9">
      <c r="A189" s="70" t="s">
        <v>277</v>
      </c>
      <c r="C189" s="1">
        <f t="shared" si="14"/>
        <v>85</v>
      </c>
      <c r="D189" s="1">
        <v>18</v>
      </c>
      <c r="E189" s="89">
        <f t="shared" si="16"/>
        <v>0.31578947368421051</v>
      </c>
      <c r="F189" s="1">
        <f t="shared" si="15"/>
        <v>26.842105263157894</v>
      </c>
      <c r="G189" s="85">
        <f t="shared" si="17"/>
        <v>5.7894736842105345</v>
      </c>
      <c r="H189" s="85">
        <f t="shared" si="18"/>
        <v>10.584633328473569</v>
      </c>
    </row>
    <row r="190" spans="1:9">
      <c r="A190" s="70" t="s">
        <v>278</v>
      </c>
      <c r="C190" s="1">
        <f t="shared" si="14"/>
        <v>95</v>
      </c>
      <c r="D190" s="1">
        <v>5</v>
      </c>
      <c r="E190" s="89">
        <f t="shared" si="16"/>
        <v>8.771929824561403E-2</v>
      </c>
      <c r="F190" s="1">
        <f t="shared" si="15"/>
        <v>8.3333333333333321</v>
      </c>
      <c r="G190" s="85">
        <f t="shared" si="17"/>
        <v>15.789473684210535</v>
      </c>
      <c r="H190" s="85">
        <f t="shared" si="18"/>
        <v>21.869077124945349</v>
      </c>
    </row>
    <row r="191" spans="1:9">
      <c r="C191" s="1">
        <f t="shared" si="14"/>
        <v>105</v>
      </c>
      <c r="D191" s="1">
        <v>3</v>
      </c>
      <c r="E191" s="89">
        <f t="shared" si="16"/>
        <v>5.2631578947368418E-2</v>
      </c>
      <c r="F191" s="1">
        <f t="shared" si="15"/>
        <v>5.5263157894736841</v>
      </c>
      <c r="G191" s="85">
        <f t="shared" si="17"/>
        <v>25.789473684210535</v>
      </c>
      <c r="H191" s="85">
        <f t="shared" si="18"/>
        <v>35.005102784662512</v>
      </c>
    </row>
    <row r="192" spans="1:9">
      <c r="C192" s="1" t="s">
        <v>125</v>
      </c>
      <c r="D192" s="81">
        <f>SUM(D186:D191)</f>
        <v>57</v>
      </c>
      <c r="E192" s="90">
        <f>SUM(E186:E191)</f>
        <v>0.99999999999999978</v>
      </c>
      <c r="F192" s="81">
        <f>SUM(F186:F191)</f>
        <v>79.210526315789465</v>
      </c>
      <c r="G192" s="85"/>
      <c r="H192" s="86">
        <f>SUM(H186:H191)</f>
        <v>126.13111726685133</v>
      </c>
      <c r="I192" s="70"/>
    </row>
    <row r="193" spans="1:8">
      <c r="C193" s="1"/>
      <c r="D193" s="1"/>
      <c r="E193" s="1"/>
      <c r="F193" s="1"/>
      <c r="G193" s="1"/>
      <c r="H193" s="75" t="s">
        <v>291</v>
      </c>
    </row>
    <row r="194" spans="1:8">
      <c r="C194" s="1"/>
      <c r="D194" s="1"/>
      <c r="E194" s="1"/>
      <c r="F194" s="1"/>
      <c r="G194" s="1" t="s">
        <v>282</v>
      </c>
      <c r="H194" s="76" t="s">
        <v>453</v>
      </c>
    </row>
    <row r="195" spans="1:8">
      <c r="C195" s="1"/>
      <c r="D195" s="75"/>
      <c r="E195" s="1" t="s">
        <v>280</v>
      </c>
      <c r="F195" s="88">
        <f>F192</f>
        <v>79.210526315789465</v>
      </c>
      <c r="G195" s="75" t="s">
        <v>284</v>
      </c>
      <c r="H195" s="88">
        <f>(126.13112)^0.5</f>
        <v>11.230811190648696</v>
      </c>
    </row>
    <row r="196" spans="1:8">
      <c r="A196" s="70" t="s">
        <v>292</v>
      </c>
    </row>
    <row r="197" spans="1:8">
      <c r="A197" s="70" t="s">
        <v>293</v>
      </c>
      <c r="C197" s="70"/>
    </row>
    <row r="198" spans="1:8">
      <c r="A198" s="70"/>
    </row>
    <row r="199" spans="1:8">
      <c r="A199" s="70"/>
    </row>
    <row r="200" spans="1:8">
      <c r="A200" s="79" t="s">
        <v>463</v>
      </c>
    </row>
    <row r="202" spans="1:8">
      <c r="A202" s="70" t="s">
        <v>464</v>
      </c>
      <c r="B202" s="70" t="s">
        <v>242</v>
      </c>
    </row>
    <row r="203" spans="1:8">
      <c r="A203" t="s">
        <v>243</v>
      </c>
    </row>
    <row r="204" spans="1:8">
      <c r="A204" t="s">
        <v>244</v>
      </c>
      <c r="B204" t="s">
        <v>245</v>
      </c>
    </row>
    <row r="205" spans="1:8">
      <c r="A205" t="s">
        <v>545</v>
      </c>
    </row>
    <row r="206" spans="1:8">
      <c r="A206" t="s">
        <v>246</v>
      </c>
    </row>
    <row r="207" spans="1:8">
      <c r="A207" t="s">
        <v>247</v>
      </c>
      <c r="B207" t="s">
        <v>248</v>
      </c>
    </row>
    <row r="208" spans="1:8">
      <c r="A208" t="s">
        <v>249</v>
      </c>
      <c r="B208" t="s">
        <v>250</v>
      </c>
    </row>
    <row r="209" spans="1:4">
      <c r="A209" t="s">
        <v>251</v>
      </c>
      <c r="B209" t="s">
        <v>252</v>
      </c>
    </row>
    <row r="211" spans="1:4">
      <c r="A211" t="s">
        <v>243</v>
      </c>
      <c r="B211" t="s">
        <v>253</v>
      </c>
    </row>
    <row r="212" spans="1:4">
      <c r="A212" t="s">
        <v>254</v>
      </c>
      <c r="B212" t="s">
        <v>255</v>
      </c>
      <c r="D212" t="s">
        <v>256</v>
      </c>
    </row>
    <row r="213" spans="1:4">
      <c r="B213" t="s">
        <v>257</v>
      </c>
      <c r="D213" t="s">
        <v>258</v>
      </c>
    </row>
    <row r="214" spans="1:4">
      <c r="A214" t="s">
        <v>259</v>
      </c>
    </row>
    <row r="215" spans="1:4">
      <c r="A215" t="s">
        <v>260</v>
      </c>
    </row>
    <row r="217" spans="1:4">
      <c r="A217" s="4" t="s">
        <v>467</v>
      </c>
    </row>
  </sheetData>
  <mergeCells count="8">
    <mergeCell ref="G130:H130"/>
    <mergeCell ref="G131:H131"/>
    <mergeCell ref="G123:H123"/>
    <mergeCell ref="G125:H125"/>
    <mergeCell ref="G126:H126"/>
    <mergeCell ref="G127:H127"/>
    <mergeCell ref="G128:H128"/>
    <mergeCell ref="G129:H129"/>
  </mergeCells>
  <hyperlinks>
    <hyperlink ref="I66" r:id="rId1"/>
    <hyperlink ref="K66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77"/>
  <sheetViews>
    <sheetView workbookViewId="0">
      <selection activeCell="P32" sqref="P32"/>
    </sheetView>
  </sheetViews>
  <sheetFormatPr defaultRowHeight="14.4"/>
  <sheetData>
    <row r="1" spans="1:28">
      <c r="A1" s="4" t="s">
        <v>205</v>
      </c>
      <c r="F1" s="2" t="s">
        <v>674</v>
      </c>
      <c r="X1">
        <f>SUM(X5:X14)</f>
        <v>55</v>
      </c>
      <c r="Y1">
        <f>SUM(Y5:Y14)</f>
        <v>61</v>
      </c>
    </row>
    <row r="2" spans="1:28">
      <c r="A2" s="2" t="s">
        <v>204</v>
      </c>
      <c r="E2" s="2"/>
      <c r="F2" s="2" t="s">
        <v>626</v>
      </c>
    </row>
    <row r="3" spans="1:28">
      <c r="X3">
        <f>X1/10</f>
        <v>5.5</v>
      </c>
      <c r="Y3">
        <f>Y1/10</f>
        <v>6.1</v>
      </c>
    </row>
    <row r="4" spans="1:28">
      <c r="A4" s="2" t="s">
        <v>210</v>
      </c>
      <c r="X4" t="s">
        <v>42</v>
      </c>
      <c r="Y4" t="s">
        <v>4</v>
      </c>
    </row>
    <row r="5" spans="1:28">
      <c r="X5">
        <v>1</v>
      </c>
      <c r="Y5">
        <v>3</v>
      </c>
      <c r="AA5">
        <f>$Y$3</f>
        <v>6.1</v>
      </c>
      <c r="AB5">
        <f t="shared" ref="AB5:AB14" si="0">$E$31+X5*$E$32</f>
        <v>0.99519999999999942</v>
      </c>
    </row>
    <row r="6" spans="1:28">
      <c r="A6" s="63" t="s">
        <v>42</v>
      </c>
      <c r="B6" s="63" t="s">
        <v>4</v>
      </c>
      <c r="X6">
        <v>2</v>
      </c>
      <c r="Y6">
        <v>2</v>
      </c>
      <c r="AA6">
        <f t="shared" ref="AA6:AA14" si="1">$Y$3</f>
        <v>6.1</v>
      </c>
      <c r="AB6">
        <f t="shared" si="0"/>
        <v>2.1295999999999995</v>
      </c>
    </row>
    <row r="7" spans="1:28">
      <c r="A7" s="64">
        <v>1</v>
      </c>
      <c r="B7" s="64">
        <v>3</v>
      </c>
      <c r="X7">
        <v>3</v>
      </c>
      <c r="Y7">
        <v>5</v>
      </c>
      <c r="AA7">
        <f t="shared" si="1"/>
        <v>6.1</v>
      </c>
      <c r="AB7">
        <f t="shared" si="0"/>
        <v>3.2639999999999993</v>
      </c>
    </row>
    <row r="8" spans="1:28">
      <c r="A8" s="65">
        <v>2</v>
      </c>
      <c r="B8" s="65">
        <v>2</v>
      </c>
      <c r="X8">
        <v>4</v>
      </c>
      <c r="Y8">
        <v>7</v>
      </c>
      <c r="AA8">
        <f t="shared" si="1"/>
        <v>6.1</v>
      </c>
      <c r="AB8">
        <f t="shared" si="0"/>
        <v>4.3983999999999996</v>
      </c>
    </row>
    <row r="9" spans="1:28">
      <c r="A9" s="65">
        <v>3</v>
      </c>
      <c r="B9" s="65">
        <v>5</v>
      </c>
      <c r="X9">
        <v>5</v>
      </c>
      <c r="Y9">
        <v>4</v>
      </c>
      <c r="AA9">
        <f t="shared" si="1"/>
        <v>6.1</v>
      </c>
      <c r="AB9">
        <f t="shared" si="0"/>
        <v>5.5327999999999999</v>
      </c>
    </row>
    <row r="10" spans="1:28">
      <c r="A10" s="65">
        <v>4</v>
      </c>
      <c r="B10" s="65">
        <v>7</v>
      </c>
      <c r="X10">
        <v>6</v>
      </c>
      <c r="Y10">
        <v>8</v>
      </c>
      <c r="AA10">
        <f t="shared" si="1"/>
        <v>6.1</v>
      </c>
      <c r="AB10">
        <f t="shared" si="0"/>
        <v>6.6671999999999993</v>
      </c>
    </row>
    <row r="11" spans="1:28">
      <c r="A11" s="65">
        <v>5</v>
      </c>
      <c r="B11" s="65">
        <v>4</v>
      </c>
      <c r="X11">
        <v>7</v>
      </c>
      <c r="Y11">
        <v>5</v>
      </c>
      <c r="AA11">
        <f t="shared" si="1"/>
        <v>6.1</v>
      </c>
      <c r="AB11">
        <f t="shared" si="0"/>
        <v>7.8015999999999996</v>
      </c>
    </row>
    <row r="12" spans="1:28">
      <c r="A12" s="65">
        <v>6</v>
      </c>
      <c r="B12" s="65">
        <v>8</v>
      </c>
      <c r="X12">
        <v>8</v>
      </c>
      <c r="Y12">
        <v>7</v>
      </c>
      <c r="AA12">
        <f t="shared" si="1"/>
        <v>6.1</v>
      </c>
      <c r="AB12">
        <f t="shared" si="0"/>
        <v>8.9359999999999999</v>
      </c>
    </row>
    <row r="13" spans="1:28">
      <c r="A13" s="65">
        <v>7</v>
      </c>
      <c r="B13" s="65">
        <v>5</v>
      </c>
      <c r="X13">
        <v>9</v>
      </c>
      <c r="Y13">
        <v>11</v>
      </c>
      <c r="AA13">
        <f t="shared" si="1"/>
        <v>6.1</v>
      </c>
      <c r="AB13">
        <f t="shared" si="0"/>
        <v>10.070399999999999</v>
      </c>
    </row>
    <row r="14" spans="1:28">
      <c r="A14" s="65">
        <v>8</v>
      </c>
      <c r="B14" s="65">
        <v>7</v>
      </c>
      <c r="X14">
        <v>10</v>
      </c>
      <c r="Y14">
        <v>9</v>
      </c>
      <c r="AA14">
        <f t="shared" si="1"/>
        <v>6.1</v>
      </c>
      <c r="AB14">
        <f t="shared" si="0"/>
        <v>11.204800000000001</v>
      </c>
    </row>
    <row r="15" spans="1:28">
      <c r="A15" s="65">
        <v>9</v>
      </c>
      <c r="B15" s="65">
        <v>11</v>
      </c>
      <c r="X15">
        <v>5.5</v>
      </c>
      <c r="Z15">
        <v>1</v>
      </c>
    </row>
    <row r="16" spans="1:28">
      <c r="A16" s="66">
        <v>10</v>
      </c>
      <c r="B16" s="66">
        <v>9</v>
      </c>
      <c r="X16">
        <v>5.5</v>
      </c>
      <c r="Z16">
        <v>11</v>
      </c>
    </row>
    <row r="19" spans="1:12">
      <c r="A19" s="12" t="s">
        <v>196</v>
      </c>
      <c r="G19" s="2" t="s">
        <v>203</v>
      </c>
    </row>
    <row r="20" spans="1:12" ht="15.6">
      <c r="A20" s="45" t="s">
        <v>206</v>
      </c>
      <c r="B20" s="11" t="s">
        <v>178</v>
      </c>
      <c r="C20" s="2"/>
      <c r="D20" s="2"/>
      <c r="E20" s="2">
        <f>AVERAGE(B7:B16)</f>
        <v>6.1</v>
      </c>
      <c r="G20" s="2" t="s">
        <v>211</v>
      </c>
    </row>
    <row r="21" spans="1:12" ht="16.2" thickBot="1">
      <c r="A21" s="45" t="s">
        <v>186</v>
      </c>
      <c r="B21" s="11" t="s">
        <v>177</v>
      </c>
      <c r="C21" s="2"/>
      <c r="D21" s="2"/>
      <c r="E21" s="2">
        <f>STDEVP(B7:B16)</f>
        <v>2.6627053911388696</v>
      </c>
      <c r="G21" s="2" t="s">
        <v>675</v>
      </c>
    </row>
    <row r="22" spans="1:12" ht="15.6">
      <c r="A22" s="5" t="s">
        <v>183</v>
      </c>
      <c r="B22" s="11" t="s">
        <v>179</v>
      </c>
      <c r="C22" s="2"/>
      <c r="D22" s="2"/>
      <c r="E22" s="2">
        <f>INTERCEPT(B7:B16,A7:A16)</f>
        <v>1.9333333333333327</v>
      </c>
      <c r="F22" s="54"/>
      <c r="G22" s="145" t="s">
        <v>676</v>
      </c>
      <c r="H22" s="146"/>
      <c r="I22" s="146"/>
      <c r="J22" s="146"/>
      <c r="K22" s="146"/>
      <c r="L22" s="147"/>
    </row>
    <row r="23" spans="1:12" ht="15.6">
      <c r="A23" s="5" t="s">
        <v>184</v>
      </c>
      <c r="B23" s="11" t="s">
        <v>180</v>
      </c>
      <c r="C23" s="2"/>
      <c r="D23" s="2"/>
      <c r="E23" s="2">
        <f>SLOPE(B7:B16,A7:A16)</f>
        <v>0.75757575757575757</v>
      </c>
      <c r="F23" s="54"/>
      <c r="G23" s="148"/>
      <c r="H23" s="149"/>
      <c r="I23" s="149"/>
      <c r="J23" s="149"/>
      <c r="K23" s="149"/>
      <c r="L23" s="150"/>
    </row>
    <row r="24" spans="1:12" ht="17.399999999999999" thickBot="1">
      <c r="A24" s="56" t="s">
        <v>192</v>
      </c>
      <c r="B24" s="57" t="s">
        <v>193</v>
      </c>
      <c r="C24" s="58"/>
      <c r="D24" s="59" t="s">
        <v>739</v>
      </c>
      <c r="E24" s="58">
        <f>E21*(1-E37^2)^0.5</f>
        <v>1.5346502908322519</v>
      </c>
      <c r="F24" s="54"/>
      <c r="G24" s="151" t="s">
        <v>631</v>
      </c>
      <c r="H24" s="152"/>
      <c r="I24" s="152"/>
      <c r="J24" s="152"/>
      <c r="K24" s="152"/>
      <c r="L24" s="153"/>
    </row>
    <row r="25" spans="1:12" ht="6" customHeight="1">
      <c r="A25" s="56"/>
      <c r="B25" s="57"/>
      <c r="C25" s="58"/>
      <c r="D25" s="59"/>
      <c r="E25" s="58"/>
      <c r="F25" s="54"/>
      <c r="G25" s="58"/>
    </row>
    <row r="26" spans="1:12">
      <c r="A26" s="12" t="s">
        <v>197</v>
      </c>
      <c r="F26" s="54"/>
    </row>
    <row r="27" spans="1:12" ht="15.6">
      <c r="A27" s="45" t="s">
        <v>207</v>
      </c>
      <c r="B27" s="11" t="s">
        <v>176</v>
      </c>
      <c r="C27" s="2"/>
      <c r="D27" s="2"/>
      <c r="E27" s="2">
        <f>AVERAGE(A7:A16)</f>
        <v>5.5</v>
      </c>
    </row>
    <row r="28" spans="1:12">
      <c r="A28" s="45" t="s">
        <v>740</v>
      </c>
      <c r="B28" s="11" t="s">
        <v>837</v>
      </c>
      <c r="C28" s="2"/>
      <c r="D28" s="2"/>
      <c r="E28" s="2">
        <f>STDEVP(A7:A16)</f>
        <v>2.8722813232690143</v>
      </c>
      <c r="G28" s="172" t="s">
        <v>715</v>
      </c>
      <c r="H28" s="173"/>
      <c r="I28" s="173"/>
      <c r="J28" s="173"/>
      <c r="K28" s="173"/>
      <c r="L28" s="174"/>
    </row>
    <row r="29" spans="1:12" ht="15.6">
      <c r="A29" s="5" t="s">
        <v>185</v>
      </c>
      <c r="B29" s="11" t="s">
        <v>181</v>
      </c>
      <c r="C29" s="2"/>
      <c r="D29" s="2"/>
      <c r="E29" s="2">
        <f>INTERCEPT(A7:A16,B7:B16)</f>
        <v>0.12270803949224351</v>
      </c>
      <c r="G29" s="163" t="s">
        <v>633</v>
      </c>
      <c r="H29" s="164"/>
      <c r="I29" s="164"/>
      <c r="J29" s="164"/>
      <c r="K29" s="164"/>
      <c r="L29" s="165"/>
    </row>
    <row r="30" spans="1:12" ht="16.2" thickBot="1">
      <c r="A30" s="5" t="s">
        <v>184</v>
      </c>
      <c r="B30" s="11" t="s">
        <v>182</v>
      </c>
      <c r="C30" s="2"/>
      <c r="D30" s="2"/>
      <c r="E30" s="2">
        <f>SLOPE(A7:A16,B7:B16)</f>
        <v>0.88152327221438642</v>
      </c>
      <c r="G30" s="166" t="s">
        <v>711</v>
      </c>
      <c r="H30" s="149"/>
      <c r="I30" s="149"/>
      <c r="J30" s="149"/>
      <c r="K30" s="149"/>
      <c r="L30" s="167"/>
    </row>
    <row r="31" spans="1:12" ht="15.6">
      <c r="A31" s="5" t="s">
        <v>187</v>
      </c>
      <c r="B31" s="11" t="s">
        <v>736</v>
      </c>
      <c r="C31" s="2"/>
      <c r="D31" s="55" t="s">
        <v>839</v>
      </c>
      <c r="E31" s="2">
        <f xml:space="preserve"> E20-E32*E27</f>
        <v>-0.13920000000000066</v>
      </c>
      <c r="F31" s="54"/>
      <c r="G31" s="154" t="s">
        <v>677</v>
      </c>
      <c r="H31" s="155"/>
      <c r="I31" s="155"/>
      <c r="J31" s="155"/>
      <c r="K31" s="155"/>
      <c r="L31" s="156"/>
    </row>
    <row r="32" spans="1:12" ht="15.6">
      <c r="A32" s="5" t="s">
        <v>189</v>
      </c>
      <c r="B32" s="16" t="s">
        <v>188</v>
      </c>
      <c r="C32" s="175" t="s">
        <v>737</v>
      </c>
      <c r="D32" s="2"/>
      <c r="E32" s="2">
        <f>1/E30</f>
        <v>1.1344000000000001</v>
      </c>
      <c r="F32" s="54"/>
      <c r="G32" s="157"/>
      <c r="H32" s="158"/>
      <c r="I32" s="158"/>
      <c r="J32" s="158"/>
      <c r="K32" s="158"/>
      <c r="L32" s="159"/>
    </row>
    <row r="33" spans="1:15" ht="17.399999999999999" thickBot="1">
      <c r="A33" s="60" t="s">
        <v>194</v>
      </c>
      <c r="B33" s="61" t="s">
        <v>195</v>
      </c>
      <c r="C33" s="14"/>
      <c r="D33" s="62" t="s">
        <v>838</v>
      </c>
      <c r="E33" s="58">
        <f>E28*(1-E37^2)^0.5</f>
        <v>1.6554393823574709</v>
      </c>
      <c r="F33" s="54"/>
      <c r="G33" s="160" t="s">
        <v>632</v>
      </c>
      <c r="H33" s="161"/>
      <c r="I33" s="161"/>
      <c r="J33" s="161"/>
      <c r="K33" s="161"/>
      <c r="L33" s="162"/>
    </row>
    <row r="34" spans="1:15" ht="6" customHeight="1">
      <c r="A34" s="60"/>
      <c r="B34" s="61"/>
      <c r="C34" s="14"/>
      <c r="D34" s="62"/>
      <c r="E34" s="2"/>
      <c r="F34" s="54"/>
      <c r="G34" s="14"/>
    </row>
    <row r="35" spans="1:15">
      <c r="A35" s="4" t="s">
        <v>202</v>
      </c>
      <c r="B35" s="2"/>
      <c r="C35" s="2"/>
      <c r="D35" s="2"/>
      <c r="E35" s="2"/>
      <c r="F35" s="54"/>
    </row>
    <row r="36" spans="1:15" ht="16.8">
      <c r="A36" s="5" t="s">
        <v>191</v>
      </c>
      <c r="B36" s="11" t="s">
        <v>208</v>
      </c>
      <c r="C36" s="11" t="s">
        <v>738</v>
      </c>
      <c r="D36" s="2"/>
      <c r="E36" s="2">
        <f>(E23*E30)</f>
        <v>0.66782066076847457</v>
      </c>
      <c r="G36" s="2" t="s">
        <v>198</v>
      </c>
    </row>
    <row r="37" spans="1:15">
      <c r="A37" s="5" t="s">
        <v>190</v>
      </c>
      <c r="B37" s="11" t="s">
        <v>840</v>
      </c>
      <c r="C37" s="2"/>
      <c r="D37" s="2"/>
      <c r="E37" s="2">
        <f>CORREL(A7:A16,B7:B16)</f>
        <v>0.81720294955933348</v>
      </c>
      <c r="G37" s="2" t="s">
        <v>199</v>
      </c>
    </row>
    <row r="38" spans="1:15">
      <c r="A38" s="5" t="s">
        <v>190</v>
      </c>
      <c r="B38" s="11" t="s">
        <v>841</v>
      </c>
      <c r="C38" s="2"/>
      <c r="D38" s="2"/>
      <c r="E38" s="2">
        <f>CORREL(B7:B16,A7:A16)</f>
        <v>0.81720294955933348</v>
      </c>
      <c r="G38" s="2" t="s">
        <v>200</v>
      </c>
    </row>
    <row r="39" spans="1:15">
      <c r="G39" s="2" t="s">
        <v>201</v>
      </c>
    </row>
    <row r="40" spans="1:15" ht="6" customHeight="1">
      <c r="G40" s="2"/>
    </row>
    <row r="41" spans="1:15">
      <c r="I41" s="4" t="s">
        <v>563</v>
      </c>
    </row>
    <row r="42" spans="1:15">
      <c r="I42" s="2" t="s">
        <v>536</v>
      </c>
    </row>
    <row r="43" spans="1:15">
      <c r="I43" s="2" t="s">
        <v>534</v>
      </c>
      <c r="J43" s="2"/>
      <c r="K43" s="2"/>
      <c r="L43" s="2"/>
    </row>
    <row r="44" spans="1:15">
      <c r="I44" s="2" t="s">
        <v>535</v>
      </c>
      <c r="J44" s="2"/>
      <c r="K44" s="2"/>
      <c r="L44" s="2"/>
    </row>
    <row r="45" spans="1:15">
      <c r="I45" s="2" t="s">
        <v>537</v>
      </c>
      <c r="J45" s="2"/>
      <c r="K45" s="2"/>
      <c r="L45" s="2"/>
    </row>
    <row r="46" spans="1:15">
      <c r="I46" s="2" t="s">
        <v>243</v>
      </c>
      <c r="J46" s="2"/>
      <c r="K46" s="2" t="s">
        <v>245</v>
      </c>
      <c r="L46" s="2"/>
    </row>
    <row r="47" spans="1:15">
      <c r="I47" s="2" t="s">
        <v>531</v>
      </c>
      <c r="J47" s="2"/>
      <c r="K47" s="2"/>
      <c r="L47" s="2"/>
      <c r="N47" s="70"/>
      <c r="O47" s="70"/>
    </row>
    <row r="48" spans="1:15">
      <c r="I48" s="2" t="s">
        <v>528</v>
      </c>
      <c r="J48" s="2"/>
      <c r="L48" s="2"/>
    </row>
    <row r="49" spans="9:12">
      <c r="I49" s="2" t="s">
        <v>529</v>
      </c>
      <c r="J49" s="2"/>
      <c r="K49" s="2"/>
      <c r="L49" s="2"/>
    </row>
    <row r="50" spans="9:12">
      <c r="I50" s="2" t="s">
        <v>533</v>
      </c>
      <c r="J50" s="2" t="s">
        <v>244</v>
      </c>
      <c r="L50" s="2"/>
    </row>
    <row r="51" spans="9:12">
      <c r="I51" s="2" t="s">
        <v>538</v>
      </c>
      <c r="J51" s="2"/>
      <c r="K51" s="2" t="s">
        <v>532</v>
      </c>
      <c r="L51" s="2"/>
    </row>
    <row r="52" spans="9:12">
      <c r="I52" s="2" t="s">
        <v>243</v>
      </c>
      <c r="J52" s="2"/>
      <c r="K52" s="2"/>
      <c r="L52" s="2"/>
    </row>
    <row r="53" spans="9:12">
      <c r="I53" s="2" t="s">
        <v>253</v>
      </c>
      <c r="J53" s="2" t="s">
        <v>245</v>
      </c>
      <c r="K53" s="2" t="s">
        <v>245</v>
      </c>
      <c r="L53" s="2"/>
    </row>
    <row r="54" spans="9:12">
      <c r="I54" s="2" t="s">
        <v>530</v>
      </c>
      <c r="J54" s="2"/>
      <c r="K54" s="2"/>
      <c r="L54" s="2"/>
    </row>
    <row r="55" spans="9:12" ht="15.6">
      <c r="I55" s="2" t="s">
        <v>541</v>
      </c>
      <c r="J55" s="2"/>
      <c r="L55" s="2"/>
    </row>
    <row r="56" spans="9:12" ht="15.6">
      <c r="I56" s="2" t="s">
        <v>542</v>
      </c>
      <c r="J56" s="2"/>
      <c r="K56" s="2"/>
      <c r="L56" s="2"/>
    </row>
    <row r="57" spans="9:12">
      <c r="I57" s="2" t="s">
        <v>539</v>
      </c>
      <c r="J57" s="2"/>
      <c r="L57" s="2"/>
    </row>
    <row r="58" spans="9:12">
      <c r="I58" s="2" t="s">
        <v>540</v>
      </c>
      <c r="J58" s="2"/>
      <c r="K58" s="2"/>
      <c r="L58" s="2"/>
    </row>
    <row r="59" spans="9:12" ht="15.6">
      <c r="I59" s="22" t="s">
        <v>629</v>
      </c>
      <c r="J59" s="2"/>
      <c r="K59" s="2"/>
      <c r="L59" s="2"/>
    </row>
    <row r="60" spans="9:12" ht="15.6">
      <c r="I60" s="22" t="s">
        <v>630</v>
      </c>
      <c r="J60" s="2"/>
      <c r="K60" s="2"/>
      <c r="L60" s="2"/>
    </row>
    <row r="61" spans="9:12">
      <c r="J61" s="2"/>
      <c r="K61" s="2"/>
      <c r="L61" s="2"/>
    </row>
    <row r="62" spans="9:12">
      <c r="I62" s="2" t="s">
        <v>543</v>
      </c>
      <c r="J62" s="2"/>
      <c r="K62" s="2"/>
      <c r="L62" s="2"/>
    </row>
    <row r="63" spans="9:12">
      <c r="I63" s="2" t="s">
        <v>628</v>
      </c>
      <c r="J63" s="2"/>
      <c r="K63" s="2"/>
      <c r="L63" s="2"/>
    </row>
    <row r="64" spans="9:12">
      <c r="I64" s="2" t="s">
        <v>627</v>
      </c>
    </row>
    <row r="66" spans="1:9">
      <c r="A66" s="10" t="s">
        <v>209</v>
      </c>
      <c r="I66" s="2" t="s">
        <v>544</v>
      </c>
    </row>
    <row r="68" spans="1:9">
      <c r="A68" s="2" t="s">
        <v>734</v>
      </c>
    </row>
    <row r="69" spans="1:9">
      <c r="A69" s="2" t="s">
        <v>735</v>
      </c>
    </row>
    <row r="70" spans="1:9">
      <c r="A70" s="2" t="s">
        <v>903</v>
      </c>
    </row>
    <row r="73" spans="1:9">
      <c r="A73" s="170" t="s">
        <v>801</v>
      </c>
    </row>
    <row r="74" spans="1:9">
      <c r="A74" s="14" t="s">
        <v>904</v>
      </c>
    </row>
    <row r="75" spans="1:9">
      <c r="A75" s="14" t="s">
        <v>842</v>
      </c>
    </row>
    <row r="76" spans="1:9">
      <c r="A76" s="2"/>
    </row>
    <row r="77" spans="1:9">
      <c r="A77" s="2"/>
    </row>
  </sheetData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58"/>
  <sheetViews>
    <sheetView workbookViewId="0">
      <selection activeCell="E151" sqref="E151"/>
    </sheetView>
  </sheetViews>
  <sheetFormatPr defaultRowHeight="14.4"/>
  <cols>
    <col min="1" max="1" width="12" bestFit="1" customWidth="1"/>
    <col min="8" max="8" width="10.6640625" bestFit="1" customWidth="1"/>
    <col min="9" max="9" width="10.5546875" bestFit="1" customWidth="1"/>
    <col min="12" max="12" width="9.5546875" bestFit="1" customWidth="1"/>
    <col min="13" max="13" width="10.5546875" bestFit="1" customWidth="1"/>
  </cols>
  <sheetData>
    <row r="1" spans="1:9">
      <c r="A1" s="4" t="s">
        <v>512</v>
      </c>
    </row>
    <row r="3" spans="1:9">
      <c r="A3" s="2" t="s">
        <v>106</v>
      </c>
    </row>
    <row r="4" spans="1:9">
      <c r="A4" s="2" t="s">
        <v>53</v>
      </c>
    </row>
    <row r="5" spans="1:9">
      <c r="A5" s="2" t="s">
        <v>678</v>
      </c>
    </row>
    <row r="6" spans="1:9">
      <c r="A6" s="2" t="s">
        <v>54</v>
      </c>
    </row>
    <row r="7" spans="1:9">
      <c r="A7" s="2"/>
    </row>
    <row r="8" spans="1:9">
      <c r="A8" s="4" t="s">
        <v>513</v>
      </c>
      <c r="B8" s="4"/>
      <c r="C8" s="4"/>
      <c r="D8" s="4"/>
      <c r="E8" s="4"/>
    </row>
    <row r="9" spans="1:9">
      <c r="A9" s="2"/>
      <c r="B9" s="2"/>
      <c r="C9" s="2"/>
      <c r="D9" s="2"/>
      <c r="E9" s="2"/>
    </row>
    <row r="10" spans="1:9">
      <c r="A10" s="2" t="s">
        <v>679</v>
      </c>
      <c r="B10" s="2"/>
      <c r="C10" s="2"/>
      <c r="D10" s="2"/>
      <c r="E10" s="2"/>
    </row>
    <row r="11" spans="1:9">
      <c r="A11" s="2"/>
      <c r="B11" s="2"/>
      <c r="C11" s="2"/>
      <c r="D11" s="2"/>
      <c r="E11" s="2"/>
    </row>
    <row r="12" spans="1:9" ht="16.2">
      <c r="A12" s="2" t="s">
        <v>35</v>
      </c>
      <c r="B12" s="2"/>
      <c r="C12" s="2"/>
      <c r="D12" s="2"/>
      <c r="E12" s="2"/>
    </row>
    <row r="13" spans="1:9">
      <c r="A13" s="2"/>
      <c r="B13" s="2"/>
      <c r="C13" s="2"/>
      <c r="D13" s="2"/>
      <c r="E13" s="2"/>
    </row>
    <row r="14" spans="1:9" ht="15.6">
      <c r="A14" s="5" t="s">
        <v>31</v>
      </c>
      <c r="B14" s="2" t="s">
        <v>635</v>
      </c>
      <c r="C14" s="2" t="s">
        <v>37</v>
      </c>
      <c r="D14" s="5" t="s">
        <v>20</v>
      </c>
      <c r="E14" s="2" t="s">
        <v>29</v>
      </c>
      <c r="F14" s="10" t="s">
        <v>31</v>
      </c>
      <c r="H14" s="2" t="s">
        <v>33</v>
      </c>
      <c r="I14" s="10" t="s">
        <v>39</v>
      </c>
    </row>
    <row r="15" spans="1:9" ht="15.6">
      <c r="A15" s="5" t="s">
        <v>32</v>
      </c>
      <c r="B15" s="2" t="s">
        <v>636</v>
      </c>
      <c r="C15" s="2" t="s">
        <v>38</v>
      </c>
      <c r="D15" s="5" t="s">
        <v>36</v>
      </c>
      <c r="E15" s="2" t="s">
        <v>30</v>
      </c>
      <c r="F15" s="10" t="s">
        <v>32</v>
      </c>
      <c r="H15" s="11" t="s">
        <v>637</v>
      </c>
      <c r="I15" s="10" t="s">
        <v>40</v>
      </c>
    </row>
    <row r="17" spans="1:12">
      <c r="A17" s="2" t="s">
        <v>634</v>
      </c>
    </row>
    <row r="18" spans="1:12" ht="15.6">
      <c r="A18" s="2" t="s">
        <v>692</v>
      </c>
    </row>
    <row r="19" spans="1:12" ht="16.8">
      <c r="A19" s="2" t="s">
        <v>58</v>
      </c>
    </row>
    <row r="20" spans="1:12">
      <c r="A20" s="2" t="s">
        <v>55</v>
      </c>
    </row>
    <row r="21" spans="1:12">
      <c r="A21" s="2"/>
    </row>
    <row r="22" spans="1:12">
      <c r="A22" s="2" t="s">
        <v>34</v>
      </c>
    </row>
    <row r="23" spans="1:12" ht="16.2">
      <c r="A23" s="2" t="s">
        <v>17</v>
      </c>
      <c r="D23" s="2" t="s">
        <v>107</v>
      </c>
    </row>
    <row r="24" spans="1:12">
      <c r="A24" s="2"/>
    </row>
    <row r="25" spans="1:12">
      <c r="A25" s="2" t="s">
        <v>41</v>
      </c>
    </row>
    <row r="26" spans="1:12">
      <c r="A26" s="2"/>
    </row>
    <row r="27" spans="1:12">
      <c r="A27" s="4" t="s">
        <v>514</v>
      </c>
      <c r="B27" s="3"/>
      <c r="C27" s="3"/>
      <c r="D27" s="3"/>
      <c r="E27" s="3"/>
      <c r="F27" s="3"/>
    </row>
    <row r="28" spans="1:12">
      <c r="A28" s="2"/>
    </row>
    <row r="30" spans="1:12">
      <c r="A30" s="2"/>
    </row>
    <row r="31" spans="1:12">
      <c r="A31" s="5" t="s">
        <v>42</v>
      </c>
      <c r="B31" s="5" t="s">
        <v>4</v>
      </c>
    </row>
    <row r="32" spans="1:12">
      <c r="A32" s="5">
        <v>1</v>
      </c>
      <c r="B32" s="5">
        <v>2</v>
      </c>
      <c r="I32" s="5">
        <v>2</v>
      </c>
      <c r="J32" s="5">
        <v>1</v>
      </c>
      <c r="K32" s="5">
        <v>1</v>
      </c>
      <c r="L32" s="2"/>
    </row>
    <row r="33" spans="1:13">
      <c r="A33" s="5">
        <v>4</v>
      </c>
      <c r="B33" s="5">
        <v>3</v>
      </c>
      <c r="I33" s="5">
        <v>3</v>
      </c>
      <c r="J33" s="5">
        <v>4</v>
      </c>
      <c r="K33" s="5">
        <v>1</v>
      </c>
      <c r="L33" s="2"/>
    </row>
    <row r="34" spans="1:13">
      <c r="A34" s="5">
        <v>2</v>
      </c>
      <c r="B34" s="5">
        <v>4</v>
      </c>
      <c r="I34" s="5">
        <v>4</v>
      </c>
      <c r="J34" s="5">
        <v>2</v>
      </c>
      <c r="K34" s="5">
        <v>1</v>
      </c>
      <c r="L34" s="5" t="s">
        <v>1</v>
      </c>
    </row>
    <row r="35" spans="1:13">
      <c r="A35" s="5">
        <v>3</v>
      </c>
      <c r="B35" s="5">
        <v>3</v>
      </c>
      <c r="I35" s="5">
        <v>3</v>
      </c>
      <c r="J35" s="5">
        <v>3</v>
      </c>
      <c r="K35" s="5">
        <v>1</v>
      </c>
      <c r="L35" s="5" t="s">
        <v>2</v>
      </c>
    </row>
    <row r="36" spans="1:13">
      <c r="A36" s="5">
        <v>6</v>
      </c>
      <c r="B36" s="5">
        <v>7</v>
      </c>
      <c r="I36" s="5">
        <v>7</v>
      </c>
      <c r="J36" s="5">
        <v>6</v>
      </c>
      <c r="K36" s="5">
        <v>1</v>
      </c>
      <c r="L36" s="2"/>
    </row>
    <row r="37" spans="1:13">
      <c r="A37" s="5">
        <v>5</v>
      </c>
      <c r="B37" s="5">
        <v>6</v>
      </c>
      <c r="I37" s="5">
        <v>6</v>
      </c>
      <c r="J37" s="5">
        <v>5</v>
      </c>
      <c r="K37" s="5">
        <v>1</v>
      </c>
      <c r="L37" s="2"/>
    </row>
    <row r="38" spans="1:13">
      <c r="A38" s="5"/>
      <c r="B38" s="1"/>
    </row>
    <row r="39" spans="1:13" ht="16.2">
      <c r="A39" s="2"/>
      <c r="B39" s="2"/>
      <c r="C39" s="2" t="s">
        <v>26</v>
      </c>
      <c r="D39" s="2"/>
      <c r="G39" s="2"/>
      <c r="H39" s="2" t="s">
        <v>19</v>
      </c>
      <c r="I39" s="8" t="s">
        <v>27</v>
      </c>
      <c r="K39" s="8" t="s">
        <v>28</v>
      </c>
      <c r="L39" s="2"/>
    </row>
    <row r="40" spans="1:13">
      <c r="A40" s="5">
        <f>INDEX($G$40:$H$45,1,1)</f>
        <v>1</v>
      </c>
      <c r="B40" s="5">
        <f>INDEX($G$40:$H$45,2,1)</f>
        <v>4</v>
      </c>
      <c r="C40" s="5">
        <f>INDEX($G$40:$H$45,3,1)</f>
        <v>2</v>
      </c>
      <c r="D40" s="5">
        <f>INDEX($G$40:$H$45,4,1)</f>
        <v>3</v>
      </c>
      <c r="E40" s="5">
        <f>INDEX($G$40:$H$45,5,1)</f>
        <v>6</v>
      </c>
      <c r="F40" s="5">
        <f>INDEX($G$40:$H$45,6,1)</f>
        <v>5</v>
      </c>
      <c r="G40" s="5">
        <v>1</v>
      </c>
      <c r="H40" s="5">
        <v>1</v>
      </c>
      <c r="I40" s="5">
        <f>INDEX(MMULT($A$40:$F$41,$G$40:$H$45),1,1)</f>
        <v>91</v>
      </c>
      <c r="J40" s="10">
        <f>INDEX(MMULT($A$40:$F$41,$G$40:$H$45),1,2)</f>
        <v>21</v>
      </c>
      <c r="K40" s="5">
        <f>INDEX(MINVERSE($I$40:$J$41),1.1)</f>
        <v>5.7142857142857162E-2</v>
      </c>
      <c r="L40" s="5">
        <f>INDEX(MINVERSE($I$40:$J$41),1,2)</f>
        <v>-0.20000000000000007</v>
      </c>
    </row>
    <row r="41" spans="1:13">
      <c r="A41" s="5">
        <f>INDEX($G$40:$H$45,1,2)</f>
        <v>1</v>
      </c>
      <c r="B41" s="5">
        <f>INDEX($G$40:$H$45,2,2)</f>
        <v>1</v>
      </c>
      <c r="C41" s="5">
        <f>INDEX($G$40:$H$45,3,2)</f>
        <v>1</v>
      </c>
      <c r="D41" s="5">
        <f>INDEX($G$40:$H$45,4,2)</f>
        <v>1</v>
      </c>
      <c r="E41" s="5">
        <f>INDEX($G$40:$H$45,5,2)</f>
        <v>1</v>
      </c>
      <c r="F41" s="5">
        <f>INDEX($G$40:$H$45,6,2)</f>
        <v>1</v>
      </c>
      <c r="G41" s="5">
        <v>4</v>
      </c>
      <c r="H41" s="5">
        <v>1</v>
      </c>
      <c r="I41" s="5">
        <f>INDEX(MMULT($A$40:$F$41,$G$40:$H$45),2,1)</f>
        <v>21</v>
      </c>
      <c r="J41" s="10">
        <f>INDEX(MMULT($A$40:$F$41,$G$40:$H$45),2,2)</f>
        <v>6</v>
      </c>
      <c r="K41" s="5">
        <f>INDEX(MINVERSE($I$40:$J$41),2,1)</f>
        <v>-0.20000000000000009</v>
      </c>
      <c r="L41" s="5">
        <f>INDEX(MINVERSE($I$40:$J$41),2,2)</f>
        <v>0.86666666666666703</v>
      </c>
    </row>
    <row r="42" spans="1:13">
      <c r="A42" s="2"/>
      <c r="B42" s="2"/>
      <c r="C42" s="2"/>
      <c r="D42" s="2"/>
      <c r="G42" s="5">
        <v>2</v>
      </c>
      <c r="H42" s="5">
        <v>1</v>
      </c>
      <c r="I42" s="2"/>
      <c r="J42" s="5"/>
      <c r="K42" s="2"/>
      <c r="L42" s="2"/>
    </row>
    <row r="43" spans="1:13">
      <c r="A43" s="2"/>
      <c r="B43" s="2"/>
      <c r="C43" s="16" t="s">
        <v>61</v>
      </c>
      <c r="D43" s="2"/>
      <c r="G43" s="5">
        <v>3</v>
      </c>
      <c r="H43" s="5">
        <v>1</v>
      </c>
      <c r="J43" s="16" t="s">
        <v>57</v>
      </c>
      <c r="M43" s="2"/>
    </row>
    <row r="44" spans="1:13">
      <c r="A44" s="2"/>
      <c r="B44" s="2"/>
      <c r="C44" s="2"/>
      <c r="D44" s="2"/>
      <c r="G44" s="5">
        <v>6</v>
      </c>
      <c r="H44" s="5">
        <v>1</v>
      </c>
      <c r="I44" s="2"/>
      <c r="J44" s="2"/>
      <c r="K44" s="2"/>
      <c r="L44" s="2"/>
      <c r="M44" s="2"/>
    </row>
    <row r="45" spans="1:13">
      <c r="A45" s="2"/>
      <c r="B45" s="2"/>
      <c r="C45" s="2"/>
      <c r="D45" s="6"/>
      <c r="E45" s="10" t="s">
        <v>66</v>
      </c>
      <c r="G45" s="5">
        <v>5</v>
      </c>
      <c r="H45" s="5">
        <v>1</v>
      </c>
      <c r="I45" s="11" t="s">
        <v>56</v>
      </c>
      <c r="J45" s="2"/>
      <c r="K45" s="2"/>
      <c r="L45" s="2"/>
      <c r="M45" s="2"/>
    </row>
    <row r="46" spans="1:13">
      <c r="B46" s="5">
        <v>2</v>
      </c>
      <c r="C46" s="2"/>
      <c r="D46" s="2"/>
      <c r="E46" s="2"/>
      <c r="F46" s="2"/>
      <c r="G46" s="2"/>
      <c r="H46" s="2"/>
    </row>
    <row r="47" spans="1:13">
      <c r="B47" s="5">
        <v>3</v>
      </c>
      <c r="H47" s="2"/>
    </row>
    <row r="48" spans="1:13">
      <c r="B48" s="5">
        <v>4</v>
      </c>
      <c r="C48" s="2"/>
      <c r="D48" s="2">
        <f>INDEX(MMULT($A$40:$F$41,$B$46:$B$51),1)</f>
        <v>103</v>
      </c>
      <c r="E48" s="2"/>
      <c r="F48" s="2"/>
      <c r="G48" s="9">
        <f>INDEX(MMULT($K$40:$L$41,$D$48:$D$49),1)</f>
        <v>0.88571428571428612</v>
      </c>
      <c r="H48" s="5" t="s">
        <v>1</v>
      </c>
      <c r="I48" s="2" t="s">
        <v>44</v>
      </c>
    </row>
    <row r="49" spans="1:11">
      <c r="B49" s="5">
        <v>3</v>
      </c>
      <c r="C49" s="2"/>
      <c r="D49" s="2">
        <f>INDEX(MMULT($A$40:$F$41,$B$46:$B$51),2)</f>
        <v>25</v>
      </c>
      <c r="E49" s="2"/>
      <c r="F49" s="2"/>
      <c r="G49" s="9">
        <f>INDEX(MMULT($K$40:$L$41,$D$48:$D$49),2)</f>
        <v>1.0666666666666664</v>
      </c>
      <c r="H49" s="5" t="s">
        <v>2</v>
      </c>
      <c r="I49" s="2" t="s">
        <v>43</v>
      </c>
      <c r="K49" s="14" t="s">
        <v>51</v>
      </c>
    </row>
    <row r="50" spans="1:11">
      <c r="B50" s="5">
        <v>7</v>
      </c>
      <c r="C50" s="2"/>
      <c r="D50" s="2"/>
      <c r="E50" s="2"/>
      <c r="F50" s="2"/>
      <c r="G50" s="2"/>
      <c r="H50" s="2"/>
    </row>
    <row r="51" spans="1:11">
      <c r="B51" s="5">
        <v>6</v>
      </c>
      <c r="D51" s="2" t="s">
        <v>45</v>
      </c>
    </row>
    <row r="52" spans="1:11">
      <c r="B52" s="5"/>
      <c r="D52" s="2"/>
    </row>
    <row r="53" spans="1:11">
      <c r="A53" s="2" t="s">
        <v>697</v>
      </c>
      <c r="B53" s="5"/>
      <c r="D53" s="2"/>
    </row>
    <row r="54" spans="1:11">
      <c r="A54" s="2" t="s">
        <v>680</v>
      </c>
      <c r="B54" s="5"/>
      <c r="D54" s="2"/>
    </row>
    <row r="55" spans="1:11">
      <c r="A55" s="2" t="s">
        <v>549</v>
      </c>
      <c r="B55" s="5"/>
      <c r="D55" s="2"/>
    </row>
    <row r="56" spans="1:11">
      <c r="A56" s="2" t="s">
        <v>548</v>
      </c>
      <c r="B56" s="5"/>
      <c r="D56" s="2"/>
    </row>
    <row r="57" spans="1:11">
      <c r="A57" s="2" t="s">
        <v>550</v>
      </c>
      <c r="B57" s="5"/>
      <c r="D57" s="2"/>
    </row>
    <row r="58" spans="1:11">
      <c r="A58" s="2" t="s">
        <v>638</v>
      </c>
      <c r="B58" s="5"/>
      <c r="D58" s="2"/>
    </row>
    <row r="59" spans="1:11">
      <c r="A59" s="2"/>
      <c r="B59" s="5"/>
      <c r="D59" s="2"/>
    </row>
    <row r="60" spans="1:11" ht="16.2">
      <c r="A60" s="4" t="s">
        <v>515</v>
      </c>
      <c r="B60" s="12"/>
      <c r="C60" s="3"/>
      <c r="D60" s="4"/>
      <c r="E60" s="3"/>
      <c r="F60" s="3"/>
      <c r="G60" s="4" t="s">
        <v>70</v>
      </c>
      <c r="H60" s="3"/>
    </row>
    <row r="61" spans="1:11">
      <c r="B61" s="5"/>
      <c r="D61" s="2"/>
    </row>
    <row r="62" spans="1:11">
      <c r="B62" s="5"/>
      <c r="D62" s="2"/>
    </row>
    <row r="63" spans="1:11">
      <c r="A63" s="2" t="s">
        <v>50</v>
      </c>
      <c r="B63" s="5"/>
    </row>
    <row r="64" spans="1:11">
      <c r="A64" s="15" t="s">
        <v>46</v>
      </c>
      <c r="B64" s="15" t="s">
        <v>47</v>
      </c>
      <c r="C64" s="14" t="s">
        <v>49</v>
      </c>
    </row>
    <row r="65" spans="1:13">
      <c r="A65" s="5">
        <v>-16</v>
      </c>
      <c r="B65" s="5">
        <v>70</v>
      </c>
      <c r="C65" s="13">
        <f t="shared" ref="C65:C69" si="0">$J$81*A65^2+$J$82*A65+$J$83</f>
        <v>63.600949029766014</v>
      </c>
    </row>
    <row r="66" spans="1:13">
      <c r="A66" s="5">
        <v>-14</v>
      </c>
      <c r="B66" s="5">
        <v>30</v>
      </c>
      <c r="C66" s="13">
        <f t="shared" si="0"/>
        <v>40.30232940196602</v>
      </c>
    </row>
    <row r="67" spans="1:13">
      <c r="A67" s="5">
        <v>-6</v>
      </c>
      <c r="B67" s="5">
        <v>-5</v>
      </c>
      <c r="C67" s="13">
        <f t="shared" si="0"/>
        <v>-11.095945992412364</v>
      </c>
    </row>
    <row r="68" spans="1:13">
      <c r="A68" s="5">
        <v>4</v>
      </c>
      <c r="B68" s="5">
        <v>19</v>
      </c>
      <c r="C68" s="13">
        <f t="shared" si="0"/>
        <v>18.697666777463191</v>
      </c>
    </row>
    <row r="69" spans="1:13">
      <c r="A69" s="5">
        <v>10</v>
      </c>
      <c r="B69" s="5">
        <v>75</v>
      </c>
      <c r="C69" s="13">
        <f t="shared" si="0"/>
        <v>86.729278179574408</v>
      </c>
    </row>
    <row r="70" spans="1:13">
      <c r="A70" s="5">
        <v>12</v>
      </c>
      <c r="B70" s="5">
        <v>127</v>
      </c>
      <c r="C70" s="13">
        <f>$J$81*A70^2+$J$82*A70+$J$83</f>
        <v>117.76572260364247</v>
      </c>
    </row>
    <row r="72" spans="1:13" ht="16.2">
      <c r="A72" s="2"/>
      <c r="B72" s="2"/>
      <c r="C72" s="2" t="s">
        <v>26</v>
      </c>
      <c r="D72" s="2"/>
      <c r="G72" s="2"/>
      <c r="H72" s="2" t="s">
        <v>67</v>
      </c>
      <c r="J72" s="8" t="s">
        <v>27</v>
      </c>
    </row>
    <row r="73" spans="1:13">
      <c r="A73" s="5">
        <f>INDEX($G$73:$I$78,1,1)</f>
        <v>256</v>
      </c>
      <c r="B73" s="5">
        <f>INDEX($G$73:$I$78,2,1)</f>
        <v>196</v>
      </c>
      <c r="C73" s="5">
        <f>INDEX($G$73:$I$78,3,1)</f>
        <v>36</v>
      </c>
      <c r="D73" s="5">
        <f>INDEX($G$73:$I$78,4,1)</f>
        <v>16</v>
      </c>
      <c r="E73" s="5">
        <f>INDEX($G$73:$I$78,5,1)</f>
        <v>100</v>
      </c>
      <c r="F73" s="5">
        <f>INDEX($G$73:$I$78,6,1)</f>
        <v>144</v>
      </c>
      <c r="G73" s="5">
        <f>A65^2</f>
        <v>256</v>
      </c>
      <c r="H73" s="5">
        <f>A65</f>
        <v>-16</v>
      </c>
      <c r="I73" s="6">
        <v>1</v>
      </c>
      <c r="J73" s="5">
        <f>INDEX(MMULT($A$73:$F$75,$G$73:$I$78),1,1)</f>
        <v>136240</v>
      </c>
      <c r="K73" s="5">
        <f>INDEX(MMULT($A$73:$F$75,$G$73:$I$78),1,2)</f>
        <v>-4264</v>
      </c>
      <c r="L73" s="5">
        <f>INDEX(MMULT($A$73:$F$75,$G$73:$I$78),1,3)</f>
        <v>748</v>
      </c>
    </row>
    <row r="74" spans="1:13">
      <c r="A74" s="5">
        <f>INDEX($G$73:$I$78,1,2)</f>
        <v>-16</v>
      </c>
      <c r="B74" s="5">
        <f>INDEX($G$73:$I$78,2,2)</f>
        <v>-14</v>
      </c>
      <c r="C74" s="5">
        <f>INDEX($G$73:$I$78,3,2)</f>
        <v>-6</v>
      </c>
      <c r="D74" s="5">
        <f>INDEX($G$73:$I$78,4,2)</f>
        <v>4</v>
      </c>
      <c r="E74" s="5">
        <f>INDEX($G$73:$I$78,5,2)</f>
        <v>10</v>
      </c>
      <c r="F74" s="5">
        <f>INDEX($G$73:$I$78,6,2)</f>
        <v>12</v>
      </c>
      <c r="G74" s="5">
        <f t="shared" ref="G74:G78" si="1">A66^2</f>
        <v>196</v>
      </c>
      <c r="H74" s="5">
        <f t="shared" ref="H74:H78" si="2">A66</f>
        <v>-14</v>
      </c>
      <c r="I74" s="6">
        <v>1</v>
      </c>
      <c r="J74" s="5">
        <f>INDEX(MMULT($A$73:$F$75,$G$73:$I$78),2,1)</f>
        <v>-4264</v>
      </c>
      <c r="K74" s="5">
        <f>INDEX(MMULT($A$73:$F$75,$G$73:$I$78),2,2)</f>
        <v>748</v>
      </c>
      <c r="L74" s="5">
        <f>INDEX(MMULT($A$73:$F$75,$G$73:$I$78),2,3)</f>
        <v>-10</v>
      </c>
    </row>
    <row r="75" spans="1:13">
      <c r="A75" s="5">
        <f>INDEX($G$73:$I$78,1,3)</f>
        <v>1</v>
      </c>
      <c r="B75" s="5">
        <f>INDEX($G$73:$I$78,2,3)</f>
        <v>1</v>
      </c>
      <c r="C75" s="5">
        <f>INDEX($G$73:$I$78,3,3)</f>
        <v>1</v>
      </c>
      <c r="D75" s="5">
        <f>INDEX($G$73:$I$78,4,3)</f>
        <v>1</v>
      </c>
      <c r="E75" s="5">
        <f>INDEX($G$73:$I$78,5,3)</f>
        <v>1</v>
      </c>
      <c r="F75" s="5">
        <f>INDEX($G$73:$I$78,6,3)</f>
        <v>1</v>
      </c>
      <c r="G75" s="5">
        <f t="shared" si="1"/>
        <v>36</v>
      </c>
      <c r="H75" s="5">
        <f t="shared" si="2"/>
        <v>-6</v>
      </c>
      <c r="I75" s="6">
        <v>1</v>
      </c>
      <c r="J75" s="5">
        <f>INDEX(MMULT($A$73:$F$75,$G$73:$I$78),3,1)</f>
        <v>748</v>
      </c>
      <c r="K75" s="5">
        <f>INDEX(MMULT($A$73:$F$75,$G$73:$I$78),3,2)</f>
        <v>-10</v>
      </c>
      <c r="L75" s="5">
        <f>INDEX(MMULT($A$73:$F$75,$G$73:$I$78),3,3)</f>
        <v>6</v>
      </c>
      <c r="M75" s="2"/>
    </row>
    <row r="76" spans="1:13">
      <c r="A76" s="2"/>
      <c r="B76" s="2"/>
      <c r="C76" s="2"/>
      <c r="D76" s="2"/>
      <c r="G76" s="5">
        <f t="shared" si="1"/>
        <v>16</v>
      </c>
      <c r="H76" s="5">
        <f t="shared" si="2"/>
        <v>4</v>
      </c>
      <c r="I76" s="10">
        <v>1</v>
      </c>
      <c r="J76" s="2"/>
      <c r="K76" s="2"/>
      <c r="L76" s="2"/>
    </row>
    <row r="77" spans="1:13">
      <c r="A77" s="2"/>
      <c r="B77" s="2"/>
      <c r="C77" s="2"/>
      <c r="D77" s="2"/>
      <c r="G77" s="5">
        <f t="shared" si="1"/>
        <v>100</v>
      </c>
      <c r="H77" s="5">
        <f t="shared" si="2"/>
        <v>10</v>
      </c>
      <c r="I77" s="10">
        <v>1</v>
      </c>
      <c r="J77" s="2"/>
      <c r="K77" s="2"/>
      <c r="L77" s="2"/>
    </row>
    <row r="78" spans="1:13">
      <c r="A78" s="2"/>
      <c r="B78" s="2"/>
      <c r="C78" s="2"/>
      <c r="D78" s="2"/>
      <c r="G78" s="5">
        <f t="shared" si="1"/>
        <v>144</v>
      </c>
      <c r="H78" s="5">
        <f t="shared" si="2"/>
        <v>12</v>
      </c>
      <c r="I78" s="10">
        <v>1</v>
      </c>
      <c r="J78" s="2"/>
      <c r="K78" s="2"/>
      <c r="L78" s="2"/>
    </row>
    <row r="79" spans="1:13" ht="16.2">
      <c r="A79" s="8" t="s">
        <v>28</v>
      </c>
      <c r="B79" s="2"/>
      <c r="E79" s="5">
        <f>B65</f>
        <v>70</v>
      </c>
      <c r="F79" s="2"/>
      <c r="G79" s="11" t="s">
        <v>59</v>
      </c>
      <c r="H79" s="2" t="s">
        <v>60</v>
      </c>
      <c r="I79" s="2"/>
      <c r="J79" s="2"/>
      <c r="K79" s="2"/>
    </row>
    <row r="80" spans="1:13">
      <c r="A80" s="5">
        <f>INDEX(MINVERSE($J$73:$L$75),1,1)</f>
        <v>3.274348497178507E-5</v>
      </c>
      <c r="B80" s="5">
        <f>INDEX(MINVERSE($J$73:$L$75),1,2)</f>
        <v>1.3509299269124817E-4</v>
      </c>
      <c r="C80" s="5">
        <f>INDEX(MINVERSE($J$73:$L$75),1,3)</f>
        <v>-3.8568661386637918E-3</v>
      </c>
      <c r="E80" s="5">
        <f t="shared" ref="E80:E84" si="3">B66</f>
        <v>30</v>
      </c>
      <c r="K80" s="2"/>
    </row>
    <row r="81" spans="1:13">
      <c r="A81" s="5">
        <f>INDEX(MINVERSE($J$73:$L$75),2,1)</f>
        <v>1.3509299269124817E-4</v>
      </c>
      <c r="B81" s="5">
        <f>INDEX(MINVERSE($J$73:$L$75),2,2)</f>
        <v>1.9247318914499445E-3</v>
      </c>
      <c r="C81" s="5">
        <f>INDEX(MINVERSE($J$73:$L$75),2,3)</f>
        <v>-1.3633706603092363E-2</v>
      </c>
      <c r="E81" s="5">
        <f t="shared" si="3"/>
        <v>-5</v>
      </c>
      <c r="F81" s="2"/>
      <c r="G81" s="2">
        <f>INDEX(MMULT($A$73:$F$75,$E$79:$E$84),1)</f>
        <v>49712</v>
      </c>
      <c r="H81" s="2"/>
      <c r="I81" s="2"/>
      <c r="J81" s="9">
        <f>INDEX(MMULT($A$80:$C$82,$G$81:$G$83),1)</f>
        <v>0.52245253896026966</v>
      </c>
      <c r="K81" s="5" t="s">
        <v>1</v>
      </c>
      <c r="L81" s="2"/>
    </row>
    <row r="82" spans="1:13">
      <c r="A82" s="5">
        <f>INDEX(MINVERSE($J$73:$L$75),3,1)</f>
        <v>-3.8568661386637923E-3</v>
      </c>
      <c r="B82" s="5">
        <f>INDEX(MINVERSE($J$73:$L$75),3,2)</f>
        <v>-1.3633706603092365E-2</v>
      </c>
      <c r="C82" s="5">
        <f>INDEX(MINVERSE($J$73:$L$75),3,3)</f>
        <v>0.62476646761493204</v>
      </c>
      <c r="E82" s="5">
        <f t="shared" si="3"/>
        <v>19</v>
      </c>
      <c r="F82" s="2"/>
      <c r="G82" s="2">
        <f>INDEX(MMULT($A$73:$F$75,$E$79:$E$84),2)</f>
        <v>840</v>
      </c>
      <c r="H82" s="2"/>
      <c r="I82" s="2"/>
      <c r="J82" s="9">
        <f>INDEX(MMULT($A$80:$C$82,$G$81:$G$83),2)</f>
        <v>4.0242663549080948</v>
      </c>
      <c r="K82" s="5" t="s">
        <v>2</v>
      </c>
      <c r="L82" s="2"/>
    </row>
    <row r="83" spans="1:13">
      <c r="E83" s="5">
        <f t="shared" si="3"/>
        <v>75</v>
      </c>
      <c r="F83" s="2"/>
      <c r="G83" s="2">
        <f>INDEX(MMULT($A$73:$F$75,$E$79:$E$84),3)</f>
        <v>316</v>
      </c>
      <c r="H83" s="2"/>
      <c r="I83" s="2"/>
      <c r="J83" s="9">
        <f>INDEX(MMULT($A$80:$C$82,$G$81:$G$83),3)</f>
        <v>-5.7586392655335032</v>
      </c>
      <c r="K83" s="5" t="s">
        <v>3</v>
      </c>
    </row>
    <row r="84" spans="1:13">
      <c r="E84" s="5">
        <f t="shared" si="3"/>
        <v>127</v>
      </c>
    </row>
    <row r="85" spans="1:13">
      <c r="E85" s="5"/>
      <c r="G85" s="2"/>
    </row>
    <row r="86" spans="1:13">
      <c r="A86" s="2" t="s">
        <v>48</v>
      </c>
      <c r="B86" s="5"/>
      <c r="D86" s="2"/>
      <c r="M86" s="44" t="s">
        <v>639</v>
      </c>
    </row>
    <row r="87" spans="1:13">
      <c r="B87" s="5"/>
      <c r="D87" s="2"/>
    </row>
    <row r="88" spans="1:13">
      <c r="A88" s="4" t="s">
        <v>516</v>
      </c>
      <c r="B88" s="3"/>
      <c r="C88" s="3"/>
      <c r="D88" s="3"/>
      <c r="E88" s="3"/>
      <c r="F88" s="3"/>
    </row>
    <row r="90" spans="1:13">
      <c r="A90" s="5" t="s">
        <v>21</v>
      </c>
      <c r="B90" s="12" t="s">
        <v>18</v>
      </c>
      <c r="C90" s="5" t="s">
        <v>19</v>
      </c>
      <c r="D90" s="12" t="s">
        <v>20</v>
      </c>
    </row>
    <row r="91" spans="1:13">
      <c r="A91" s="5">
        <v>1</v>
      </c>
      <c r="B91" s="5">
        <v>5</v>
      </c>
      <c r="C91" s="10" t="s">
        <v>22</v>
      </c>
      <c r="D91" s="5" t="s">
        <v>1</v>
      </c>
    </row>
    <row r="92" spans="1:13">
      <c r="A92" s="5">
        <v>2</v>
      </c>
      <c r="B92" s="5">
        <v>19</v>
      </c>
      <c r="C92" s="10" t="s">
        <v>23</v>
      </c>
      <c r="D92" s="5" t="s">
        <v>2</v>
      </c>
    </row>
    <row r="93" spans="1:13">
      <c r="A93" s="5">
        <v>3</v>
      </c>
      <c r="B93" s="5">
        <v>30</v>
      </c>
      <c r="C93" s="10" t="s">
        <v>24</v>
      </c>
      <c r="D93" s="5"/>
    </row>
    <row r="94" spans="1:13">
      <c r="A94" s="5">
        <v>4</v>
      </c>
      <c r="B94" s="5">
        <v>57</v>
      </c>
      <c r="C94" s="10" t="s">
        <v>25</v>
      </c>
      <c r="D94" s="5"/>
    </row>
    <row r="95" spans="1:13" ht="7.5" customHeight="1">
      <c r="A95" s="1"/>
    </row>
    <row r="96" spans="1:13" ht="16.2">
      <c r="A96" s="2"/>
      <c r="B96" s="2"/>
      <c r="C96" s="2" t="s">
        <v>26</v>
      </c>
      <c r="D96" s="2"/>
      <c r="E96" s="2" t="s">
        <v>68</v>
      </c>
      <c r="G96" s="8" t="s">
        <v>27</v>
      </c>
      <c r="I96" s="8" t="s">
        <v>28</v>
      </c>
      <c r="J96" s="2"/>
      <c r="K96" s="2"/>
    </row>
    <row r="97" spans="1:12">
      <c r="A97" s="5">
        <f>INDEX($E$97:$F$100,1,1)</f>
        <v>1</v>
      </c>
      <c r="B97" s="5">
        <f>INDEX($E$97:$F$100,2,1)</f>
        <v>5</v>
      </c>
      <c r="C97" s="5">
        <f>INDEX($E$97:$F$100,3,1)</f>
        <v>1</v>
      </c>
      <c r="D97" s="5">
        <f>INDEX($E$97:$F$100,4,1)</f>
        <v>7</v>
      </c>
      <c r="E97" s="5">
        <v>1</v>
      </c>
      <c r="F97" s="5">
        <v>1</v>
      </c>
      <c r="G97" s="5">
        <f>INDEX(MMULT($A$97:$D$98,$E$97:$F$100),1,1)</f>
        <v>76</v>
      </c>
      <c r="H97" s="10">
        <f>INDEX(MMULT($A$97:$D$98,$E$97:$F$100),1,2)</f>
        <v>89</v>
      </c>
      <c r="I97" s="5">
        <f>INDEX(MINVERSE($G$97:$H$98),1.1)</f>
        <v>3.4328661385334157E-2</v>
      </c>
      <c r="J97" s="5">
        <f>INDEX(MINVERSE($G$97:$H$98),2)</f>
        <v>-1.8078407475116805E-2</v>
      </c>
      <c r="K97" s="2"/>
    </row>
    <row r="98" spans="1:12">
      <c r="A98" s="5">
        <f>INDEX($E$97:$F$100,1,2)</f>
        <v>1</v>
      </c>
      <c r="B98" s="5">
        <f>INDEX($E$97:$F$100,2,2)</f>
        <v>2</v>
      </c>
      <c r="C98" s="5">
        <f>INDEX($E$97:$F$100,3,2)</f>
        <v>8</v>
      </c>
      <c r="D98" s="5">
        <f>INDEX($E$97:$F$100,4,2)</f>
        <v>10</v>
      </c>
      <c r="E98" s="5">
        <v>5</v>
      </c>
      <c r="F98" s="5">
        <v>2</v>
      </c>
      <c r="G98" s="5">
        <f>INDEX(MMULT($A$97:$D$98,$E$97:$F$100),2,1)</f>
        <v>89</v>
      </c>
      <c r="H98" s="10">
        <f>INDEX(MMULT($A$97:$D$98,$E$97:$F$100),2,2)</f>
        <v>169</v>
      </c>
      <c r="I98" s="5">
        <f>INDEX(MINVERSE($G$97:$H$98),2,1)</f>
        <v>-1.8078407475116805E-2</v>
      </c>
      <c r="J98" s="5">
        <f>INDEX(MINVERSE($G$97:$H$98),2,2)</f>
        <v>1.5437741214706485E-2</v>
      </c>
      <c r="K98" s="2"/>
    </row>
    <row r="99" spans="1:12">
      <c r="A99" s="2"/>
      <c r="B99" s="2"/>
      <c r="C99" s="2"/>
      <c r="D99" s="2"/>
      <c r="E99" s="5">
        <v>1</v>
      </c>
      <c r="F99" s="5">
        <v>8</v>
      </c>
      <c r="G99" s="2"/>
      <c r="H99" s="2"/>
      <c r="I99" s="2"/>
      <c r="J99" s="2"/>
      <c r="K99" s="2"/>
      <c r="L99" s="2"/>
    </row>
    <row r="100" spans="1:12">
      <c r="A100" s="2"/>
      <c r="B100" s="2"/>
      <c r="C100" s="2"/>
      <c r="D100" s="2"/>
      <c r="E100" s="5">
        <v>7</v>
      </c>
      <c r="F100" s="5">
        <v>10</v>
      </c>
      <c r="G100" s="2"/>
      <c r="H100" s="2"/>
      <c r="I100" s="2"/>
      <c r="J100" s="2"/>
      <c r="K100" s="2"/>
      <c r="L100" s="2"/>
    </row>
    <row r="101" spans="1:12">
      <c r="A101" s="2"/>
      <c r="B101" s="5">
        <v>5</v>
      </c>
      <c r="L101" s="2"/>
    </row>
    <row r="102" spans="1:12">
      <c r="A102" s="8"/>
      <c r="B102" s="5">
        <v>19</v>
      </c>
      <c r="C102" s="2"/>
      <c r="D102" s="2">
        <f>INDEX(MMULT($A$97:$D$98,$B$101:$B$104),1)</f>
        <v>529</v>
      </c>
      <c r="E102" s="2"/>
      <c r="F102" s="2"/>
      <c r="G102" s="9">
        <f>INDEX(MMULT($I$97:$J$98,$D$102:$D$103),1)</f>
        <v>2.738980296567135</v>
      </c>
      <c r="H102" s="2"/>
      <c r="L102" s="2"/>
    </row>
    <row r="103" spans="1:12">
      <c r="A103" s="2"/>
      <c r="B103" s="5">
        <v>30</v>
      </c>
      <c r="C103" s="2"/>
      <c r="D103" s="2">
        <f>INDEX(MMULT($A$97:$D$98,$B$101:$B$104),2)</f>
        <v>853</v>
      </c>
      <c r="E103" s="2"/>
      <c r="F103" s="2"/>
      <c r="G103" s="9">
        <f>INDEX(MMULT($I$97:$J$98,$D$102:$D$103),2)</f>
        <v>3.6049157018078404</v>
      </c>
      <c r="H103" s="2"/>
      <c r="L103" s="2"/>
    </row>
    <row r="104" spans="1:12">
      <c r="A104" s="2"/>
      <c r="B104" s="5">
        <v>57</v>
      </c>
      <c r="C104" s="2"/>
      <c r="D104" s="2"/>
      <c r="E104" s="2"/>
      <c r="F104" s="2"/>
      <c r="G104" s="2"/>
      <c r="H104" s="2"/>
      <c r="L104" s="2"/>
    </row>
    <row r="106" spans="1:12">
      <c r="A106" s="2" t="s">
        <v>52</v>
      </c>
      <c r="I106" s="2"/>
    </row>
    <row r="108" spans="1:12" ht="16.2">
      <c r="A108" s="4" t="s">
        <v>69</v>
      </c>
      <c r="B108" s="4"/>
      <c r="C108" s="4"/>
    </row>
    <row r="109" spans="1:12" ht="9" customHeight="1">
      <c r="E109" s="8"/>
      <c r="F109" s="8"/>
    </row>
    <row r="110" spans="1:12" ht="19.8">
      <c r="A110" s="2" t="s">
        <v>719</v>
      </c>
      <c r="E110" s="8"/>
      <c r="F110" s="8"/>
    </row>
    <row r="111" spans="1:12">
      <c r="A111" s="2"/>
      <c r="E111" s="8"/>
      <c r="F111" s="8"/>
    </row>
    <row r="112" spans="1:12" ht="16.8">
      <c r="A112" s="2" t="s">
        <v>718</v>
      </c>
      <c r="E112" s="8"/>
      <c r="F112" s="8"/>
    </row>
    <row r="113" spans="1:6">
      <c r="E113" s="8"/>
      <c r="F113" s="8"/>
    </row>
    <row r="114" spans="1:6" ht="15.6">
      <c r="A114" s="2" t="s">
        <v>796</v>
      </c>
    </row>
    <row r="115" spans="1:6" ht="15.6">
      <c r="A115" s="2" t="s">
        <v>720</v>
      </c>
    </row>
    <row r="116" spans="1:6">
      <c r="A116" s="2" t="s">
        <v>965</v>
      </c>
    </row>
    <row r="117" spans="1:6">
      <c r="A117" s="2" t="s">
        <v>721</v>
      </c>
    </row>
    <row r="118" spans="1:6">
      <c r="A118" s="2" t="s">
        <v>219</v>
      </c>
    </row>
    <row r="120" spans="1:6" ht="15.6">
      <c r="A120" s="2" t="s">
        <v>797</v>
      </c>
    </row>
    <row r="122" spans="1:6">
      <c r="A122" s="4" t="s">
        <v>64</v>
      </c>
    </row>
    <row r="124" spans="1:6">
      <c r="A124" s="2" t="s">
        <v>62</v>
      </c>
    </row>
    <row r="125" spans="1:6">
      <c r="A125" s="2" t="s">
        <v>63</v>
      </c>
    </row>
    <row r="126" spans="1:6">
      <c r="A126" s="2" t="s">
        <v>681</v>
      </c>
    </row>
    <row r="127" spans="1:6">
      <c r="A127" s="2"/>
    </row>
    <row r="128" spans="1:6">
      <c r="A128" s="2" t="s">
        <v>65</v>
      </c>
    </row>
    <row r="129" spans="1:10">
      <c r="A129" s="140" t="s">
        <v>688</v>
      </c>
      <c r="B129" s="2" t="s">
        <v>691</v>
      </c>
    </row>
    <row r="130" spans="1:10">
      <c r="A130" s="169" t="s">
        <v>689</v>
      </c>
      <c r="B130" s="2" t="s">
        <v>690</v>
      </c>
    </row>
    <row r="131" spans="1:10">
      <c r="A131" s="2"/>
      <c r="C131" s="18"/>
    </row>
    <row r="132" spans="1:10">
      <c r="A132" s="4" t="s">
        <v>800</v>
      </c>
      <c r="C132" s="2"/>
      <c r="D132" s="5"/>
      <c r="E132" s="2"/>
    </row>
    <row r="133" spans="1:10" ht="6" customHeight="1">
      <c r="A133" s="2"/>
      <c r="C133" s="2"/>
      <c r="D133" s="5"/>
      <c r="E133" s="2"/>
    </row>
    <row r="134" spans="1:10">
      <c r="A134" s="2" t="s">
        <v>799</v>
      </c>
      <c r="C134" s="2"/>
      <c r="D134" s="5"/>
      <c r="E134" s="2"/>
    </row>
    <row r="135" spans="1:10">
      <c r="A135" s="2" t="s">
        <v>225</v>
      </c>
      <c r="C135" s="2"/>
      <c r="D135" s="5"/>
      <c r="E135" s="2"/>
    </row>
    <row r="136" spans="1:10">
      <c r="A136" s="2" t="s">
        <v>226</v>
      </c>
      <c r="B136" s="2"/>
      <c r="C136" s="2"/>
    </row>
    <row r="137" spans="1:10">
      <c r="A137" s="2"/>
      <c r="B137" s="2"/>
      <c r="C137" s="2"/>
    </row>
    <row r="138" spans="1:10">
      <c r="A138" s="2" t="s">
        <v>526</v>
      </c>
      <c r="C138" s="137"/>
      <c r="D138" s="2" t="s">
        <v>527</v>
      </c>
      <c r="J138" s="2"/>
    </row>
    <row r="139" spans="1:10">
      <c r="A139" s="2"/>
      <c r="C139" s="137"/>
      <c r="D139" s="2"/>
      <c r="J139" s="2"/>
    </row>
    <row r="140" spans="1:10">
      <c r="A140" s="2"/>
      <c r="C140" s="137"/>
      <c r="D140" s="2"/>
      <c r="J140" s="2"/>
    </row>
    <row r="141" spans="1:10">
      <c r="A141" s="2"/>
    </row>
    <row r="142" spans="1:10">
      <c r="A142" s="2" t="s">
        <v>227</v>
      </c>
    </row>
    <row r="143" spans="1:10">
      <c r="A143" s="2" t="s">
        <v>228</v>
      </c>
    </row>
    <row r="144" spans="1:10">
      <c r="A144" s="2" t="s">
        <v>798</v>
      </c>
    </row>
    <row r="145" spans="1:5">
      <c r="A145" s="2" t="s">
        <v>229</v>
      </c>
    </row>
    <row r="146" spans="1:5">
      <c r="A146" s="2" t="s">
        <v>547</v>
      </c>
    </row>
    <row r="148" spans="1:5">
      <c r="A148" s="14" t="s">
        <v>966</v>
      </c>
    </row>
    <row r="149" spans="1:5">
      <c r="A149" s="2"/>
    </row>
    <row r="150" spans="1:5">
      <c r="A150" s="2"/>
    </row>
    <row r="151" spans="1:5">
      <c r="A151" s="2"/>
    </row>
    <row r="156" spans="1:5">
      <c r="C156" s="2"/>
      <c r="D156" s="5"/>
      <c r="E156" s="2"/>
    </row>
    <row r="157" spans="1:5">
      <c r="C157" s="2"/>
      <c r="D157" s="5"/>
      <c r="E157" s="2"/>
    </row>
    <row r="158" spans="1:5">
      <c r="B158" s="2"/>
      <c r="C158" s="2"/>
    </row>
  </sheetData>
  <hyperlinks>
    <hyperlink ref="A129" r:id="rId1"/>
    <hyperlink ref="A130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58"/>
  <sheetViews>
    <sheetView workbookViewId="0">
      <selection activeCell="M177" sqref="M177"/>
    </sheetView>
  </sheetViews>
  <sheetFormatPr defaultColWidth="9.109375" defaultRowHeight="14.4"/>
  <cols>
    <col min="1" max="1" width="12" style="2" customWidth="1"/>
    <col min="2" max="2" width="13.6640625" style="2" customWidth="1"/>
    <col min="3" max="3" width="11.44140625" style="2" customWidth="1"/>
    <col min="4" max="4" width="12.88671875" style="2" customWidth="1"/>
    <col min="5" max="5" width="12" style="2" customWidth="1"/>
    <col min="6" max="6" width="12.88671875" style="2" customWidth="1"/>
    <col min="7" max="7" width="10.5546875" style="2" customWidth="1"/>
    <col min="8" max="8" width="9.44140625" style="2" customWidth="1"/>
    <col min="9" max="9" width="9.6640625" style="2" customWidth="1"/>
    <col min="10" max="10" width="10.33203125" style="2" customWidth="1"/>
    <col min="11" max="12" width="9.5546875" style="2" bestFit="1" customWidth="1"/>
    <col min="13" max="16384" width="9.109375" style="2"/>
  </cols>
  <sheetData>
    <row r="1" spans="1:17" ht="15.6">
      <c r="A1" s="130" t="s">
        <v>722</v>
      </c>
    </row>
    <row r="2" spans="1:17" ht="15.6">
      <c r="A2" s="97"/>
    </row>
    <row r="3" spans="1:17" ht="15.6">
      <c r="A3" s="2" t="s">
        <v>557</v>
      </c>
      <c r="H3" s="97"/>
    </row>
    <row r="4" spans="1:17" ht="15.6">
      <c r="A4" s="2" t="s">
        <v>723</v>
      </c>
      <c r="H4" s="97"/>
    </row>
    <row r="5" spans="1:17">
      <c r="A5" s="2" t="s">
        <v>701</v>
      </c>
    </row>
    <row r="6" spans="1:17">
      <c r="A6" s="2" t="s">
        <v>558</v>
      </c>
    </row>
    <row r="7" spans="1:17">
      <c r="A7" s="14" t="s">
        <v>724</v>
      </c>
    </row>
    <row r="8" spans="1:17">
      <c r="A8" s="2" t="s">
        <v>693</v>
      </c>
    </row>
    <row r="9" spans="1:17">
      <c r="A9" s="2" t="s">
        <v>802</v>
      </c>
    </row>
    <row r="10" spans="1:17" ht="16.2">
      <c r="A10" s="2" t="s">
        <v>803</v>
      </c>
    </row>
    <row r="12" spans="1:17">
      <c r="A12" s="2" t="s">
        <v>564</v>
      </c>
      <c r="B12"/>
      <c r="C12"/>
      <c r="D12"/>
      <c r="E12"/>
      <c r="F12"/>
      <c r="G12"/>
      <c r="H12"/>
      <c r="I12"/>
      <c r="J12"/>
    </row>
    <row r="13" spans="1:17">
      <c r="A13" s="2" t="s">
        <v>804</v>
      </c>
      <c r="B13"/>
      <c r="C13"/>
      <c r="D13"/>
      <c r="E13"/>
      <c r="F13"/>
      <c r="G13"/>
      <c r="H13"/>
      <c r="I13"/>
      <c r="K13" s="19"/>
      <c r="M13" s="105"/>
      <c r="N13" s="105"/>
      <c r="O13" s="105"/>
      <c r="P13" s="105"/>
      <c r="Q13" s="105"/>
    </row>
    <row r="14" spans="1:17">
      <c r="A14" s="2" t="s">
        <v>725</v>
      </c>
      <c r="B14"/>
      <c r="C14"/>
      <c r="D14"/>
      <c r="E14"/>
      <c r="F14"/>
      <c r="G14"/>
      <c r="H14"/>
      <c r="I14"/>
      <c r="K14" s="19"/>
      <c r="M14" s="105"/>
      <c r="N14" s="105"/>
      <c r="O14" s="105"/>
      <c r="P14" s="105"/>
      <c r="Q14" s="105"/>
    </row>
    <row r="15" spans="1:17">
      <c r="A15" s="2" t="s">
        <v>551</v>
      </c>
      <c r="B15"/>
      <c r="C15"/>
      <c r="D15"/>
      <c r="E15"/>
      <c r="F15"/>
      <c r="G15"/>
      <c r="H15"/>
      <c r="I15"/>
      <c r="K15" s="19"/>
      <c r="M15" s="105"/>
      <c r="N15" s="105"/>
      <c r="O15" s="105"/>
      <c r="P15" s="105"/>
      <c r="Q15" s="105"/>
    </row>
    <row r="16" spans="1:17">
      <c r="A16" s="19"/>
    </row>
    <row r="17" spans="1:1">
      <c r="A17" s="2" t="s">
        <v>554</v>
      </c>
    </row>
    <row r="18" spans="1:1">
      <c r="A18" s="2" t="s">
        <v>555</v>
      </c>
    </row>
    <row r="19" spans="1:1">
      <c r="A19" s="2" t="s">
        <v>518</v>
      </c>
    </row>
    <row r="20" spans="1:1">
      <c r="A20" s="19" t="s">
        <v>556</v>
      </c>
    </row>
    <row r="21" spans="1:1">
      <c r="A21" s="2" t="s">
        <v>640</v>
      </c>
    </row>
    <row r="22" spans="1:1">
      <c r="A22" s="100" t="s">
        <v>553</v>
      </c>
    </row>
    <row r="23" spans="1:1">
      <c r="A23" s="100" t="s">
        <v>726</v>
      </c>
    </row>
    <row r="24" spans="1:1">
      <c r="A24" s="2" t="s">
        <v>525</v>
      </c>
    </row>
    <row r="25" spans="1:1">
      <c r="A25" s="2" t="s">
        <v>565</v>
      </c>
    </row>
    <row r="26" spans="1:1">
      <c r="A26" s="19"/>
    </row>
    <row r="27" spans="1:1">
      <c r="A27" s="19" t="s">
        <v>488</v>
      </c>
    </row>
    <row r="28" spans="1:1">
      <c r="A28" s="19" t="s">
        <v>682</v>
      </c>
    </row>
    <row r="29" spans="1:1">
      <c r="A29" s="2" t="s">
        <v>489</v>
      </c>
    </row>
    <row r="30" spans="1:1">
      <c r="A30" s="19" t="s">
        <v>490</v>
      </c>
    </row>
    <row r="31" spans="1:1">
      <c r="A31" s="19" t="s">
        <v>475</v>
      </c>
    </row>
    <row r="32" spans="1:1">
      <c r="A32" s="19" t="s">
        <v>641</v>
      </c>
    </row>
    <row r="33" spans="1:15">
      <c r="A33" s="19" t="s">
        <v>552</v>
      </c>
    </row>
    <row r="34" spans="1:15">
      <c r="A34" s="19" t="s">
        <v>559</v>
      </c>
    </row>
    <row r="36" spans="1:15">
      <c r="A36" s="28" t="s">
        <v>210</v>
      </c>
      <c r="B36" s="4" t="s">
        <v>708</v>
      </c>
      <c r="C36" s="4"/>
      <c r="H36" s="131" t="s">
        <v>499</v>
      </c>
    </row>
    <row r="37" spans="1:15">
      <c r="H37" s="131" t="s">
        <v>517</v>
      </c>
    </row>
    <row r="38" spans="1:15">
      <c r="A38" s="19" t="s">
        <v>306</v>
      </c>
      <c r="B38" s="19"/>
      <c r="C38" s="19" t="s">
        <v>476</v>
      </c>
      <c r="E38" s="19"/>
      <c r="F38" s="19"/>
      <c r="G38" s="19"/>
      <c r="H38" s="131" t="s">
        <v>500</v>
      </c>
      <c r="I38" s="19"/>
      <c r="J38" s="19"/>
      <c r="K38" s="19"/>
      <c r="L38" s="19"/>
      <c r="M38" s="19"/>
      <c r="N38" s="19"/>
      <c r="O38" s="19"/>
    </row>
    <row r="39" spans="1:15">
      <c r="A39" s="36" t="s">
        <v>42</v>
      </c>
      <c r="B39" s="36" t="s">
        <v>4</v>
      </c>
      <c r="C39" s="101" t="s">
        <v>494</v>
      </c>
      <c r="D39" s="101" t="s">
        <v>495</v>
      </c>
      <c r="E39" s="101" t="s">
        <v>496</v>
      </c>
      <c r="F39" s="101" t="s">
        <v>497</v>
      </c>
      <c r="G39" s="101" t="s">
        <v>498</v>
      </c>
      <c r="H39" s="101" t="s">
        <v>493</v>
      </c>
      <c r="I39" s="19"/>
      <c r="J39" s="103"/>
      <c r="K39" s="19"/>
      <c r="L39" s="19"/>
      <c r="M39" s="19"/>
      <c r="N39" s="19"/>
      <c r="O39" s="19"/>
    </row>
    <row r="40" spans="1:15">
      <c r="A40" s="36">
        <v>0</v>
      </c>
      <c r="B40" s="36">
        <v>1</v>
      </c>
      <c r="C40" s="104">
        <f t="shared" ref="C40:C45" si="0">0.5*$A40^2.1</f>
        <v>0</v>
      </c>
      <c r="D40" s="104">
        <f t="shared" ref="D40:D45" si="1">0.5*$A40^2</f>
        <v>0</v>
      </c>
      <c r="E40" s="104">
        <f t="shared" ref="E40:E45" si="2">0.5*$A40^1.9</f>
        <v>0</v>
      </c>
      <c r="F40" s="104">
        <f>0.6*$A40^2</f>
        <v>0</v>
      </c>
      <c r="G40" s="104">
        <f>0.7*$A40^2</f>
        <v>0</v>
      </c>
      <c r="H40" s="104">
        <f>B40</f>
        <v>1</v>
      </c>
      <c r="I40" s="19"/>
      <c r="J40" s="19"/>
      <c r="K40" s="19"/>
      <c r="L40" s="19"/>
      <c r="M40" s="19"/>
      <c r="N40" s="19"/>
      <c r="O40" s="19"/>
    </row>
    <row r="41" spans="1:15">
      <c r="A41" s="36">
        <v>1</v>
      </c>
      <c r="B41" s="36">
        <v>0.5</v>
      </c>
      <c r="C41" s="104">
        <f t="shared" si="0"/>
        <v>0.5</v>
      </c>
      <c r="D41" s="104">
        <f t="shared" si="1"/>
        <v>0.5</v>
      </c>
      <c r="E41" s="104">
        <f t="shared" si="2"/>
        <v>0.5</v>
      </c>
      <c r="F41" s="104">
        <f t="shared" ref="F41:F45" si="3">0.6*$A41^2</f>
        <v>0.6</v>
      </c>
      <c r="G41" s="104">
        <f t="shared" ref="G41:G45" si="4">0.7*$A41^2</f>
        <v>0.7</v>
      </c>
      <c r="H41" s="104">
        <f t="shared" ref="H41:H45" si="5">B41</f>
        <v>0.5</v>
      </c>
      <c r="I41" s="19"/>
      <c r="J41" s="19"/>
      <c r="K41" s="19"/>
      <c r="L41" s="19"/>
      <c r="M41" s="19"/>
      <c r="N41" s="19"/>
      <c r="O41" s="19"/>
    </row>
    <row r="42" spans="1:15">
      <c r="A42" s="36">
        <v>2</v>
      </c>
      <c r="B42" s="36">
        <v>2.5</v>
      </c>
      <c r="C42" s="104">
        <f t="shared" si="0"/>
        <v>2.1435469250725863</v>
      </c>
      <c r="D42" s="104">
        <f t="shared" si="1"/>
        <v>2</v>
      </c>
      <c r="E42" s="104">
        <f t="shared" si="2"/>
        <v>1.8660659830736148</v>
      </c>
      <c r="F42" s="104">
        <f t="shared" si="3"/>
        <v>2.4</v>
      </c>
      <c r="G42" s="104">
        <f t="shared" si="4"/>
        <v>2.8</v>
      </c>
      <c r="H42" s="104">
        <f t="shared" si="5"/>
        <v>2.5</v>
      </c>
      <c r="I42" s="19"/>
      <c r="J42" s="19"/>
      <c r="K42" s="19"/>
      <c r="L42" s="19"/>
      <c r="M42" s="19"/>
      <c r="N42" s="19"/>
      <c r="O42" s="19"/>
    </row>
    <row r="43" spans="1:15">
      <c r="A43" s="36">
        <v>3</v>
      </c>
      <c r="B43" s="36">
        <v>5.5</v>
      </c>
      <c r="C43" s="104">
        <f t="shared" si="0"/>
        <v>5.022554283152572</v>
      </c>
      <c r="D43" s="104">
        <f t="shared" si="1"/>
        <v>4.5</v>
      </c>
      <c r="E43" s="104">
        <f t="shared" si="2"/>
        <v>4.0318130692834293</v>
      </c>
      <c r="F43" s="104">
        <f t="shared" si="3"/>
        <v>5.3999999999999995</v>
      </c>
      <c r="G43" s="104">
        <f t="shared" si="4"/>
        <v>6.3</v>
      </c>
      <c r="H43" s="104">
        <f t="shared" si="5"/>
        <v>5.5</v>
      </c>
      <c r="I43" s="19"/>
      <c r="J43" s="19"/>
      <c r="K43" s="19"/>
      <c r="L43" s="19"/>
      <c r="M43" s="19"/>
      <c r="N43" s="19"/>
      <c r="O43" s="19"/>
    </row>
    <row r="44" spans="1:15">
      <c r="A44" s="36">
        <v>4</v>
      </c>
      <c r="B44" s="36">
        <v>9.4</v>
      </c>
      <c r="C44" s="104">
        <f t="shared" si="0"/>
        <v>9.189586839976279</v>
      </c>
      <c r="D44" s="104">
        <f t="shared" si="1"/>
        <v>8</v>
      </c>
      <c r="E44" s="104">
        <f t="shared" si="2"/>
        <v>6.9644045063689921</v>
      </c>
      <c r="F44" s="104">
        <f t="shared" si="3"/>
        <v>9.6</v>
      </c>
      <c r="G44" s="104">
        <f t="shared" si="4"/>
        <v>11.2</v>
      </c>
      <c r="H44" s="104">
        <f t="shared" si="5"/>
        <v>9.4</v>
      </c>
      <c r="I44" s="19"/>
      <c r="J44" s="19"/>
      <c r="K44" s="19"/>
      <c r="L44" s="19"/>
      <c r="M44" s="19"/>
      <c r="N44" s="19"/>
      <c r="O44" s="19"/>
    </row>
    <row r="45" spans="1:15">
      <c r="A45" s="36">
        <v>5</v>
      </c>
      <c r="B45" s="36">
        <v>15.2</v>
      </c>
      <c r="C45" s="104">
        <f t="shared" si="0"/>
        <v>14.682736788600234</v>
      </c>
      <c r="D45" s="104">
        <f t="shared" si="1"/>
        <v>12.5</v>
      </c>
      <c r="E45" s="104">
        <f t="shared" si="2"/>
        <v>10.641749031509807</v>
      </c>
      <c r="F45" s="104">
        <f t="shared" si="3"/>
        <v>15</v>
      </c>
      <c r="G45" s="104">
        <f t="shared" si="4"/>
        <v>17.5</v>
      </c>
      <c r="H45" s="104">
        <f t="shared" si="5"/>
        <v>15.2</v>
      </c>
      <c r="I45" s="19"/>
      <c r="J45" s="19"/>
      <c r="K45" s="19"/>
      <c r="L45" s="19"/>
      <c r="M45" s="19"/>
      <c r="N45" s="19"/>
      <c r="O45" s="19"/>
    </row>
    <row r="46" spans="1:15">
      <c r="A46" s="36"/>
      <c r="B46" s="36"/>
      <c r="C46" s="104"/>
      <c r="D46" s="104"/>
      <c r="E46" s="104"/>
      <c r="F46" s="104"/>
      <c r="G46" s="104"/>
      <c r="H46" s="104"/>
      <c r="I46" s="19"/>
      <c r="J46" s="19"/>
      <c r="K46" s="19"/>
      <c r="L46" s="19"/>
      <c r="M46" s="19"/>
      <c r="N46" s="19"/>
      <c r="O46" s="19"/>
    </row>
    <row r="47" spans="1:15">
      <c r="A47" s="5">
        <f>A40</f>
        <v>0</v>
      </c>
      <c r="B47" s="132" t="s">
        <v>501</v>
      </c>
      <c r="C47" s="105">
        <f t="shared" ref="C47:G52" si="6">C40-$B40</f>
        <v>-1</v>
      </c>
      <c r="D47" s="105">
        <f t="shared" si="6"/>
        <v>-1</v>
      </c>
      <c r="E47" s="105">
        <f t="shared" si="6"/>
        <v>-1</v>
      </c>
      <c r="F47" s="105">
        <f t="shared" si="6"/>
        <v>-1</v>
      </c>
      <c r="G47" s="105">
        <f t="shared" si="6"/>
        <v>-1</v>
      </c>
      <c r="H47" s="104"/>
      <c r="I47" s="19"/>
      <c r="J47" s="19"/>
      <c r="K47" s="19"/>
      <c r="L47" s="19"/>
      <c r="M47" s="19"/>
      <c r="N47" s="19"/>
      <c r="O47" s="19"/>
    </row>
    <row r="48" spans="1:15">
      <c r="A48" s="5">
        <f t="shared" ref="A48:A52" si="7">A41</f>
        <v>1</v>
      </c>
      <c r="B48" s="100" t="s">
        <v>502</v>
      </c>
      <c r="C48" s="105">
        <f t="shared" si="6"/>
        <v>0</v>
      </c>
      <c r="D48" s="105">
        <f t="shared" si="6"/>
        <v>0</v>
      </c>
      <c r="E48" s="105">
        <f t="shared" si="6"/>
        <v>0</v>
      </c>
      <c r="F48" s="105">
        <f t="shared" si="6"/>
        <v>9.9999999999999978E-2</v>
      </c>
      <c r="G48" s="105">
        <f t="shared" si="6"/>
        <v>0.19999999999999996</v>
      </c>
      <c r="H48" s="104"/>
      <c r="I48" s="19"/>
      <c r="J48" s="19"/>
      <c r="K48" s="19"/>
      <c r="L48" s="19"/>
      <c r="M48" s="19"/>
      <c r="N48" s="19"/>
      <c r="O48" s="19"/>
    </row>
    <row r="49" spans="1:15">
      <c r="A49" s="5">
        <f t="shared" si="7"/>
        <v>2</v>
      </c>
      <c r="B49" s="36"/>
      <c r="C49" s="105">
        <f t="shared" si="6"/>
        <v>-0.35645307492741374</v>
      </c>
      <c r="D49" s="105">
        <f t="shared" si="6"/>
        <v>-0.5</v>
      </c>
      <c r="E49" s="105">
        <f t="shared" si="6"/>
        <v>-0.63393401692638518</v>
      </c>
      <c r="F49" s="105">
        <f t="shared" si="6"/>
        <v>-0.10000000000000009</v>
      </c>
      <c r="G49" s="105">
        <f t="shared" si="6"/>
        <v>0.29999999999999982</v>
      </c>
      <c r="H49" s="104"/>
      <c r="I49" s="19"/>
      <c r="J49" s="19"/>
      <c r="K49" s="19"/>
      <c r="L49" s="19"/>
      <c r="M49" s="19"/>
      <c r="N49" s="19"/>
      <c r="O49" s="19"/>
    </row>
    <row r="50" spans="1:15">
      <c r="A50" s="5">
        <f t="shared" si="7"/>
        <v>3</v>
      </c>
      <c r="B50" s="36"/>
      <c r="C50" s="105">
        <f t="shared" si="6"/>
        <v>-0.47744571684742798</v>
      </c>
      <c r="D50" s="105">
        <f t="shared" si="6"/>
        <v>-1</v>
      </c>
      <c r="E50" s="105">
        <f t="shared" si="6"/>
        <v>-1.4681869307165707</v>
      </c>
      <c r="F50" s="105">
        <f t="shared" si="6"/>
        <v>-0.10000000000000053</v>
      </c>
      <c r="G50" s="105">
        <f t="shared" si="6"/>
        <v>0.79999999999999982</v>
      </c>
      <c r="H50" s="104"/>
      <c r="I50" s="19"/>
      <c r="J50" s="19"/>
      <c r="K50" s="19"/>
      <c r="L50" s="19"/>
      <c r="M50" s="19"/>
      <c r="N50" s="19"/>
      <c r="O50" s="19"/>
    </row>
    <row r="51" spans="1:15">
      <c r="A51" s="5">
        <f t="shared" si="7"/>
        <v>4</v>
      </c>
      <c r="B51" s="36"/>
      <c r="C51" s="105">
        <f t="shared" si="6"/>
        <v>-0.21041316002372135</v>
      </c>
      <c r="D51" s="105">
        <f t="shared" si="6"/>
        <v>-1.4000000000000004</v>
      </c>
      <c r="E51" s="105">
        <f t="shared" si="6"/>
        <v>-2.4355954936310082</v>
      </c>
      <c r="F51" s="105">
        <f t="shared" si="6"/>
        <v>0.19999999999999929</v>
      </c>
      <c r="G51" s="105">
        <f t="shared" si="6"/>
        <v>1.7999999999999989</v>
      </c>
      <c r="H51" s="104"/>
      <c r="I51" s="19"/>
      <c r="J51" s="19"/>
      <c r="K51" s="19"/>
      <c r="L51" s="19"/>
      <c r="M51" s="19"/>
      <c r="N51" s="19"/>
      <c r="O51" s="19"/>
    </row>
    <row r="52" spans="1:15">
      <c r="A52" s="5">
        <f t="shared" si="7"/>
        <v>5</v>
      </c>
      <c r="B52" s="36"/>
      <c r="C52" s="105">
        <f t="shared" si="6"/>
        <v>-0.51726321139976505</v>
      </c>
      <c r="D52" s="105">
        <f t="shared" si="6"/>
        <v>-2.6999999999999993</v>
      </c>
      <c r="E52" s="105">
        <f t="shared" si="6"/>
        <v>-4.5582509684901922</v>
      </c>
      <c r="F52" s="105">
        <f t="shared" si="6"/>
        <v>-0.19999999999999929</v>
      </c>
      <c r="G52" s="105">
        <f t="shared" si="6"/>
        <v>2.3000000000000007</v>
      </c>
      <c r="H52" s="104"/>
      <c r="I52" s="19"/>
      <c r="J52" s="19"/>
      <c r="K52" s="19"/>
      <c r="L52" s="19"/>
      <c r="M52" s="19"/>
      <c r="N52" s="19"/>
      <c r="O52" s="19"/>
    </row>
    <row r="53" spans="1:15">
      <c r="A53" s="36"/>
      <c r="B53" s="36"/>
      <c r="C53" s="104"/>
      <c r="D53" s="104"/>
      <c r="E53" s="104"/>
      <c r="F53" s="104"/>
      <c r="G53" s="104"/>
      <c r="H53" s="104"/>
      <c r="I53" s="19"/>
      <c r="J53" s="19"/>
      <c r="K53" s="19"/>
      <c r="L53" s="19"/>
      <c r="M53" s="19"/>
      <c r="N53" s="19"/>
      <c r="O53" s="19"/>
    </row>
    <row r="54" spans="1:15">
      <c r="A54" s="36"/>
      <c r="B54" s="36"/>
      <c r="D54" s="104"/>
      <c r="E54" s="104"/>
      <c r="F54" s="104"/>
      <c r="G54" s="104"/>
      <c r="H54" s="104"/>
      <c r="I54" s="19"/>
      <c r="J54" s="19"/>
      <c r="K54" s="19"/>
      <c r="L54" s="19"/>
      <c r="M54" s="19"/>
      <c r="N54" s="19"/>
      <c r="O54" s="19"/>
    </row>
    <row r="55" spans="1:15">
      <c r="A55" s="36"/>
      <c r="B55" s="36"/>
      <c r="D55" s="104"/>
      <c r="E55" s="104"/>
      <c r="F55" s="104"/>
      <c r="G55" s="104"/>
      <c r="H55" s="104"/>
      <c r="I55" s="19"/>
      <c r="J55" s="19"/>
      <c r="K55" s="19"/>
      <c r="L55" s="19"/>
      <c r="M55" s="19"/>
      <c r="N55" s="19"/>
      <c r="O55" s="19"/>
    </row>
    <row r="56" spans="1:15">
      <c r="A56" s="36"/>
      <c r="B56" s="36"/>
      <c r="D56" s="104"/>
      <c r="E56" s="104"/>
      <c r="F56" s="104"/>
      <c r="G56" s="104"/>
      <c r="H56" s="104"/>
      <c r="I56" s="19"/>
      <c r="J56" s="19"/>
      <c r="K56" s="19"/>
      <c r="L56" s="19"/>
      <c r="M56" s="19"/>
      <c r="N56" s="19"/>
      <c r="O56" s="19"/>
    </row>
    <row r="57" spans="1:15">
      <c r="A57" s="36"/>
      <c r="B57" s="36"/>
      <c r="D57" s="104"/>
      <c r="E57" s="104"/>
      <c r="F57" s="104"/>
      <c r="G57" s="104"/>
      <c r="H57" s="104"/>
      <c r="I57" s="19"/>
      <c r="J57" s="19"/>
      <c r="K57" s="19"/>
      <c r="L57" s="19"/>
      <c r="M57" s="19"/>
      <c r="N57" s="19"/>
      <c r="O57" s="19"/>
    </row>
    <row r="58" spans="1:15">
      <c r="A58" s="36"/>
      <c r="B58" s="36"/>
      <c r="D58" s="104"/>
      <c r="E58" s="104"/>
      <c r="F58" s="104"/>
      <c r="G58" s="104"/>
      <c r="H58" s="104"/>
      <c r="I58" s="19"/>
      <c r="J58" s="19"/>
      <c r="K58" s="19"/>
      <c r="L58" s="19"/>
      <c r="M58" s="19"/>
      <c r="N58" s="19"/>
      <c r="O58" s="19"/>
    </row>
    <row r="59" spans="1:15">
      <c r="A59" s="36"/>
      <c r="B59" s="36"/>
      <c r="D59" s="104"/>
      <c r="E59" s="104"/>
      <c r="F59" s="104"/>
      <c r="G59" s="104"/>
      <c r="H59" s="104"/>
      <c r="I59" s="19"/>
      <c r="J59" s="19"/>
      <c r="K59" s="19"/>
      <c r="L59" s="19"/>
      <c r="M59" s="19"/>
      <c r="N59" s="19"/>
      <c r="O59" s="19"/>
    </row>
    <row r="60" spans="1:15">
      <c r="A60" s="36"/>
      <c r="B60" s="36"/>
      <c r="D60" s="104"/>
      <c r="E60" s="104"/>
      <c r="F60" s="104"/>
      <c r="G60" s="104"/>
      <c r="H60" s="104"/>
      <c r="I60" s="19"/>
      <c r="J60" s="19"/>
      <c r="K60" s="19"/>
      <c r="L60" s="19"/>
      <c r="M60" s="19"/>
      <c r="N60" s="19"/>
      <c r="O60" s="19"/>
    </row>
    <row r="61" spans="1:15">
      <c r="A61" s="36"/>
      <c r="B61" s="36"/>
      <c r="D61" s="104"/>
      <c r="E61" s="104"/>
      <c r="F61" s="104"/>
      <c r="G61" s="104"/>
      <c r="H61" s="104"/>
      <c r="I61" s="19"/>
      <c r="J61" s="19"/>
      <c r="K61" s="19"/>
      <c r="L61" s="19"/>
      <c r="M61" s="19"/>
      <c r="N61" s="19"/>
      <c r="O61" s="19"/>
    </row>
    <row r="62" spans="1:15">
      <c r="A62" s="36"/>
      <c r="B62" s="36"/>
      <c r="D62" s="104"/>
      <c r="E62" s="104"/>
      <c r="F62" s="104"/>
      <c r="G62" s="104"/>
      <c r="H62" s="104"/>
      <c r="I62" s="19"/>
      <c r="J62" s="19"/>
      <c r="K62" s="19"/>
      <c r="L62" s="19"/>
      <c r="M62" s="19"/>
      <c r="N62" s="19"/>
      <c r="O62" s="19"/>
    </row>
    <row r="63" spans="1:15">
      <c r="A63" s="36"/>
      <c r="B63" s="36"/>
      <c r="D63" s="104"/>
      <c r="E63" s="104"/>
      <c r="F63" s="104"/>
      <c r="G63" s="104"/>
      <c r="H63" s="104"/>
      <c r="I63" s="19"/>
      <c r="J63" s="19"/>
      <c r="K63" s="19"/>
      <c r="L63" s="19"/>
      <c r="M63" s="19"/>
      <c r="N63" s="19"/>
      <c r="O63" s="19"/>
    </row>
    <row r="64" spans="1:15">
      <c r="A64" s="36"/>
      <c r="B64" s="36"/>
      <c r="D64" s="104"/>
      <c r="E64" s="104"/>
      <c r="F64" s="104"/>
      <c r="G64" s="104"/>
      <c r="H64" s="104"/>
      <c r="I64" s="19"/>
      <c r="J64" s="19"/>
      <c r="K64" s="19"/>
      <c r="L64" s="19"/>
      <c r="M64" s="19"/>
      <c r="N64" s="19"/>
      <c r="O64" s="19"/>
    </row>
    <row r="65" spans="1:15">
      <c r="A65" s="36"/>
      <c r="B65" s="36"/>
      <c r="D65" s="104"/>
      <c r="E65" s="104"/>
      <c r="F65" s="104"/>
      <c r="G65" s="104"/>
      <c r="H65" s="104"/>
      <c r="I65" s="19"/>
      <c r="J65" s="19"/>
      <c r="K65" s="19"/>
      <c r="L65" s="19"/>
      <c r="M65" s="19"/>
      <c r="N65" s="19"/>
      <c r="O65" s="19"/>
    </row>
    <row r="66" spans="1:15">
      <c r="A66" s="36"/>
      <c r="B66" s="36"/>
      <c r="D66" s="104"/>
      <c r="E66" s="104"/>
      <c r="F66" s="104"/>
      <c r="G66" s="104"/>
      <c r="H66" s="104"/>
      <c r="I66" s="19"/>
      <c r="J66" s="19"/>
      <c r="K66" s="19"/>
      <c r="L66" s="19"/>
      <c r="M66" s="19"/>
      <c r="N66" s="19"/>
      <c r="O66" s="19"/>
    </row>
    <row r="67" spans="1:15">
      <c r="A67" s="36"/>
      <c r="B67" s="36"/>
      <c r="D67" s="104"/>
      <c r="E67" s="104"/>
      <c r="F67" s="104"/>
      <c r="G67" s="104"/>
      <c r="H67" s="104"/>
      <c r="I67" s="19"/>
      <c r="J67" s="19"/>
      <c r="K67" s="19"/>
      <c r="L67" s="19"/>
      <c r="M67" s="19"/>
      <c r="N67" s="19"/>
      <c r="O67" s="19"/>
    </row>
    <row r="68" spans="1:15">
      <c r="A68" s="36"/>
      <c r="B68" s="36"/>
      <c r="D68" s="104"/>
      <c r="E68" s="104"/>
      <c r="F68" s="104"/>
      <c r="G68" s="104"/>
      <c r="H68" s="104"/>
      <c r="I68" s="19"/>
      <c r="J68" s="19"/>
      <c r="K68" s="19"/>
      <c r="L68" s="19"/>
      <c r="M68" s="19"/>
      <c r="N68" s="19"/>
      <c r="O68" s="19"/>
    </row>
    <row r="69" spans="1:15">
      <c r="A69" s="36"/>
      <c r="B69" s="36"/>
      <c r="D69" s="104"/>
      <c r="E69" s="104"/>
      <c r="F69" s="104"/>
      <c r="G69" s="104"/>
      <c r="H69" s="104"/>
      <c r="I69" s="19"/>
      <c r="J69" s="19"/>
      <c r="K69" s="19"/>
      <c r="L69" s="19"/>
      <c r="M69" s="19"/>
      <c r="N69" s="19"/>
      <c r="O69" s="19"/>
    </row>
    <row r="70" spans="1:15">
      <c r="A70" s="36"/>
      <c r="B70" s="36"/>
      <c r="D70" s="104"/>
      <c r="E70" s="104"/>
      <c r="F70" s="104"/>
      <c r="G70" s="104"/>
      <c r="H70" s="104"/>
      <c r="I70" s="19"/>
      <c r="J70" s="19"/>
      <c r="K70" s="19"/>
      <c r="L70" s="19"/>
      <c r="M70" s="19"/>
      <c r="N70" s="19"/>
      <c r="O70" s="19"/>
    </row>
    <row r="71" spans="1:15">
      <c r="A71" s="100" t="s">
        <v>707</v>
      </c>
      <c r="B71" s="36"/>
      <c r="D71" s="104"/>
      <c r="E71" s="104"/>
      <c r="F71" s="104"/>
      <c r="G71" s="104"/>
      <c r="H71" s="104"/>
      <c r="I71" s="19"/>
      <c r="J71" s="19"/>
      <c r="K71" s="19"/>
      <c r="L71" s="19"/>
      <c r="M71" s="19"/>
      <c r="N71" s="19"/>
      <c r="O71" s="19"/>
    </row>
    <row r="72" spans="1:15">
      <c r="A72" s="100" t="s">
        <v>492</v>
      </c>
      <c r="B72" s="36"/>
      <c r="D72" s="104"/>
      <c r="E72" s="104"/>
      <c r="F72" s="104"/>
      <c r="G72" s="104"/>
      <c r="H72" s="104"/>
      <c r="I72" s="19"/>
      <c r="J72" s="19"/>
      <c r="K72" s="19"/>
      <c r="L72" s="19"/>
      <c r="M72" s="19"/>
      <c r="N72" s="19"/>
      <c r="O72" s="19"/>
    </row>
    <row r="73" spans="1:15">
      <c r="A73" s="171" t="s">
        <v>703</v>
      </c>
      <c r="B73" s="36"/>
      <c r="D73" s="104"/>
      <c r="E73" s="104"/>
      <c r="F73" s="104"/>
      <c r="G73" s="104"/>
      <c r="H73" s="104"/>
      <c r="I73" s="19"/>
      <c r="J73" s="19"/>
      <c r="K73" s="19"/>
      <c r="L73" s="19"/>
      <c r="M73" s="19"/>
      <c r="N73" s="19"/>
      <c r="O73" s="19"/>
    </row>
    <row r="74" spans="1:15">
      <c r="A74" s="171" t="s">
        <v>712</v>
      </c>
      <c r="B74" s="36"/>
      <c r="D74" s="104"/>
      <c r="E74" s="104"/>
      <c r="F74" s="104"/>
      <c r="G74" s="104"/>
      <c r="H74" s="104"/>
      <c r="I74" s="19"/>
      <c r="J74" s="19"/>
      <c r="K74" s="19"/>
      <c r="L74" s="19"/>
      <c r="M74" s="19"/>
      <c r="N74" s="19"/>
      <c r="O74" s="19"/>
    </row>
    <row r="75" spans="1:15">
      <c r="A75" s="171" t="s">
        <v>704</v>
      </c>
      <c r="B75" s="36"/>
      <c r="D75" s="104"/>
      <c r="E75" s="104"/>
      <c r="F75" s="104"/>
      <c r="G75" s="104"/>
      <c r="H75" s="104"/>
      <c r="I75" s="19"/>
      <c r="J75" s="19"/>
      <c r="K75" s="19"/>
      <c r="L75" s="19"/>
      <c r="M75" s="19"/>
      <c r="N75" s="19"/>
      <c r="O75" s="19"/>
    </row>
    <row r="76" spans="1:15" ht="16.2">
      <c r="A76" s="100" t="s">
        <v>702</v>
      </c>
      <c r="B76" s="36"/>
      <c r="E76" s="104"/>
      <c r="F76" s="104"/>
      <c r="G76" s="104"/>
      <c r="H76" s="104"/>
      <c r="I76" s="19"/>
      <c r="J76" s="19"/>
      <c r="K76" s="19"/>
      <c r="L76" s="19"/>
      <c r="M76" s="19"/>
      <c r="N76" s="19"/>
      <c r="O76" s="19"/>
    </row>
    <row r="77" spans="1:15">
      <c r="A77" s="100" t="s">
        <v>710</v>
      </c>
      <c r="B77" s="36"/>
      <c r="E77" s="104"/>
      <c r="F77" s="104"/>
      <c r="G77" s="104"/>
      <c r="H77" s="104"/>
      <c r="I77" s="19"/>
      <c r="J77" s="19"/>
      <c r="K77" s="19"/>
      <c r="L77" s="19"/>
      <c r="M77" s="19"/>
      <c r="N77" s="19"/>
      <c r="O77" s="19"/>
    </row>
    <row r="78" spans="1:15">
      <c r="A78" s="100" t="s">
        <v>709</v>
      </c>
      <c r="B78" s="36"/>
      <c r="D78" s="104"/>
      <c r="E78" s="104"/>
      <c r="F78" s="104"/>
      <c r="G78" s="104"/>
      <c r="H78" s="104"/>
      <c r="I78" s="19"/>
      <c r="J78" s="19"/>
      <c r="K78" s="19"/>
      <c r="L78" s="19"/>
      <c r="M78" s="19"/>
      <c r="N78" s="19"/>
      <c r="O78" s="19"/>
    </row>
    <row r="79" spans="1:15">
      <c r="A79" s="100"/>
      <c r="B79" s="36"/>
      <c r="D79" s="104"/>
      <c r="E79" s="104"/>
      <c r="F79" s="104"/>
      <c r="G79" s="104"/>
      <c r="H79" s="104"/>
      <c r="I79" s="19"/>
      <c r="J79" s="19"/>
      <c r="K79" s="19"/>
      <c r="L79" s="19"/>
      <c r="M79" s="19"/>
      <c r="N79" s="19"/>
      <c r="O79" s="19"/>
    </row>
    <row r="80" spans="1:15">
      <c r="A80" s="100" t="s">
        <v>705</v>
      </c>
      <c r="B80" s="36"/>
      <c r="D80" s="104"/>
      <c r="E80" s="104"/>
      <c r="F80" s="104"/>
      <c r="G80" s="104"/>
      <c r="H80" s="104"/>
      <c r="I80" s="19"/>
      <c r="J80" s="19"/>
      <c r="K80" s="19"/>
      <c r="L80" s="19"/>
      <c r="M80" s="19"/>
      <c r="N80" s="19"/>
      <c r="O80" s="19"/>
    </row>
    <row r="81" spans="1:15">
      <c r="A81" s="100"/>
      <c r="B81" s="36"/>
      <c r="D81" s="104"/>
      <c r="E81" s="104"/>
      <c r="F81" s="104"/>
      <c r="G81" s="104"/>
      <c r="H81" s="104"/>
      <c r="I81" s="19"/>
      <c r="J81" s="19"/>
      <c r="K81" s="19"/>
      <c r="L81" s="19"/>
      <c r="M81" s="19"/>
      <c r="N81" s="19"/>
      <c r="O81" s="19"/>
    </row>
    <row r="82" spans="1:15">
      <c r="A82" s="100"/>
      <c r="B82" s="36"/>
      <c r="D82" s="104"/>
      <c r="E82" s="104"/>
      <c r="F82" s="104"/>
      <c r="G82" s="104"/>
      <c r="H82" s="104"/>
      <c r="I82" s="19"/>
      <c r="J82" s="19"/>
      <c r="K82" s="19"/>
      <c r="L82" s="19"/>
      <c r="M82" s="19"/>
      <c r="N82" s="19"/>
      <c r="O82" s="19"/>
    </row>
    <row r="83" spans="1:15">
      <c r="A83" s="100"/>
      <c r="B83" s="36"/>
      <c r="D83" s="104"/>
      <c r="E83" s="104"/>
      <c r="F83" s="104"/>
      <c r="G83" s="104"/>
      <c r="H83" s="104"/>
      <c r="I83" s="19"/>
      <c r="J83" s="19"/>
      <c r="K83" s="19"/>
      <c r="L83" s="19"/>
      <c r="M83" s="19"/>
      <c r="N83" s="19"/>
      <c r="O83" s="19"/>
    </row>
    <row r="84" spans="1:15">
      <c r="A84" s="100"/>
      <c r="B84" s="36"/>
      <c r="D84" s="104"/>
      <c r="E84" s="104"/>
      <c r="F84" s="104"/>
      <c r="G84" s="104"/>
      <c r="H84" s="104"/>
      <c r="I84" s="19"/>
      <c r="J84" s="19"/>
      <c r="K84" s="19"/>
      <c r="L84" s="19"/>
      <c r="M84" s="19"/>
      <c r="N84" s="19"/>
      <c r="O84" s="19"/>
    </row>
    <row r="85" spans="1:15">
      <c r="A85" s="100"/>
      <c r="B85" s="36"/>
      <c r="D85" s="104"/>
      <c r="E85" s="104"/>
      <c r="F85" s="104"/>
      <c r="G85" s="104"/>
      <c r="H85" s="104"/>
      <c r="I85" s="19"/>
      <c r="J85" s="19"/>
      <c r="K85" s="19"/>
      <c r="L85" s="19"/>
      <c r="M85" s="19"/>
      <c r="N85" s="19"/>
      <c r="O85" s="19"/>
    </row>
    <row r="86" spans="1:15">
      <c r="A86" s="100"/>
      <c r="B86" s="36"/>
      <c r="D86" s="104"/>
      <c r="E86" s="104"/>
      <c r="F86" s="104"/>
      <c r="G86" s="104"/>
      <c r="H86" s="104"/>
      <c r="I86" s="19"/>
      <c r="J86" s="19"/>
      <c r="K86" s="19"/>
      <c r="L86" s="19"/>
      <c r="M86" s="19"/>
      <c r="N86" s="19"/>
      <c r="O86" s="19"/>
    </row>
    <row r="87" spans="1:15">
      <c r="A87" s="100"/>
      <c r="B87" s="36"/>
      <c r="D87" s="104"/>
      <c r="E87" s="104"/>
      <c r="F87" s="104"/>
      <c r="G87" s="104"/>
      <c r="H87" s="104"/>
      <c r="I87" s="19"/>
      <c r="J87" s="19"/>
      <c r="K87" s="19"/>
      <c r="L87" s="19"/>
      <c r="M87" s="19"/>
      <c r="N87" s="19"/>
      <c r="O87" s="19"/>
    </row>
    <row r="88" spans="1:15">
      <c r="A88" s="100"/>
      <c r="B88" s="36"/>
      <c r="D88" s="104"/>
      <c r="E88" s="104"/>
      <c r="F88" s="104"/>
      <c r="G88" s="104"/>
      <c r="H88" s="104"/>
      <c r="I88" s="19"/>
      <c r="J88" s="19"/>
      <c r="K88" s="19"/>
      <c r="L88" s="19"/>
      <c r="M88" s="19"/>
      <c r="N88" s="19"/>
      <c r="O88" s="19"/>
    </row>
    <row r="89" spans="1:15">
      <c r="A89" s="100"/>
      <c r="B89" s="36"/>
      <c r="D89" s="104"/>
      <c r="E89" s="104"/>
      <c r="F89" s="104"/>
      <c r="G89" s="104"/>
      <c r="H89" s="104"/>
      <c r="I89" s="19"/>
      <c r="J89" s="19"/>
      <c r="K89" s="19"/>
      <c r="L89" s="19"/>
      <c r="M89" s="19"/>
      <c r="N89" s="19"/>
      <c r="O89" s="19"/>
    </row>
    <row r="90" spans="1:15">
      <c r="A90" s="100"/>
      <c r="B90" s="36"/>
      <c r="D90" s="104"/>
      <c r="E90" s="104"/>
      <c r="F90" s="104"/>
      <c r="G90" s="104"/>
      <c r="H90" s="104"/>
      <c r="I90" s="19"/>
      <c r="J90" s="19"/>
      <c r="K90" s="19"/>
      <c r="L90" s="19"/>
      <c r="M90" s="19"/>
      <c r="N90" s="19"/>
      <c r="O90" s="19"/>
    </row>
    <row r="91" spans="1:15">
      <c r="A91" s="100"/>
      <c r="B91" s="36"/>
      <c r="D91" s="104"/>
      <c r="E91" s="104"/>
      <c r="F91" s="104"/>
      <c r="G91" s="104"/>
      <c r="H91" s="104"/>
      <c r="I91" s="19"/>
      <c r="J91" s="19"/>
      <c r="K91" s="19"/>
      <c r="L91" s="19"/>
      <c r="M91" s="19"/>
      <c r="N91" s="19"/>
      <c r="O91" s="19"/>
    </row>
    <row r="92" spans="1:15">
      <c r="A92" s="100"/>
      <c r="B92" s="36"/>
      <c r="D92" s="104"/>
      <c r="E92" s="104"/>
      <c r="F92" s="104"/>
      <c r="G92" s="104"/>
      <c r="H92" s="104"/>
      <c r="I92" s="19"/>
      <c r="J92" s="19"/>
      <c r="K92" s="19"/>
      <c r="L92" s="19"/>
      <c r="M92" s="19"/>
      <c r="N92" s="19"/>
      <c r="O92" s="19"/>
    </row>
    <row r="93" spans="1:15">
      <c r="A93" s="100"/>
      <c r="B93" s="36"/>
      <c r="D93" s="104"/>
      <c r="E93" s="104"/>
      <c r="F93" s="104"/>
      <c r="G93" s="104"/>
      <c r="H93" s="104"/>
      <c r="I93" s="19"/>
      <c r="J93" s="19"/>
      <c r="K93" s="19"/>
      <c r="L93" s="19"/>
      <c r="M93" s="19"/>
      <c r="N93" s="19"/>
      <c r="O93" s="19"/>
    </row>
    <row r="94" spans="1:15">
      <c r="A94" s="100"/>
      <c r="B94" s="36"/>
      <c r="D94" s="104"/>
      <c r="E94" s="104"/>
      <c r="F94" s="104"/>
      <c r="G94" s="104"/>
      <c r="H94" s="104"/>
      <c r="I94" s="19"/>
      <c r="J94" s="19"/>
      <c r="K94" s="19"/>
      <c r="L94" s="19"/>
      <c r="M94" s="19"/>
      <c r="N94" s="19"/>
      <c r="O94" s="19"/>
    </row>
    <row r="95" spans="1:15">
      <c r="A95" s="100"/>
      <c r="B95" s="36"/>
      <c r="D95" s="104"/>
      <c r="E95" s="104"/>
      <c r="F95" s="104"/>
      <c r="G95" s="104"/>
      <c r="H95" s="104"/>
      <c r="I95" s="19"/>
      <c r="J95" s="19"/>
      <c r="K95" s="19"/>
      <c r="L95" s="19"/>
      <c r="M95" s="19"/>
      <c r="N95" s="19"/>
      <c r="O95" s="19"/>
    </row>
    <row r="96" spans="1:15">
      <c r="A96" s="100"/>
      <c r="B96" s="36"/>
      <c r="D96" s="104"/>
      <c r="E96" s="104"/>
      <c r="F96" s="104"/>
      <c r="G96" s="104"/>
      <c r="H96" s="104"/>
      <c r="I96" s="19"/>
      <c r="J96" s="19"/>
      <c r="K96" s="19"/>
      <c r="L96" s="19"/>
      <c r="M96" s="19"/>
      <c r="N96" s="19"/>
      <c r="O96" s="19"/>
    </row>
    <row r="97" spans="1:15">
      <c r="A97" s="100"/>
      <c r="B97" s="36"/>
      <c r="D97" s="104"/>
      <c r="E97" s="104"/>
      <c r="F97" s="104"/>
      <c r="G97" s="104"/>
      <c r="H97" s="104"/>
      <c r="I97" s="19"/>
      <c r="J97" s="19"/>
      <c r="K97" s="19"/>
      <c r="L97" s="19"/>
      <c r="M97" s="19"/>
      <c r="N97" s="19"/>
      <c r="O97" s="19"/>
    </row>
    <row r="98" spans="1:15">
      <c r="A98" s="100"/>
      <c r="B98" s="36"/>
      <c r="D98" s="104"/>
      <c r="E98" s="104"/>
      <c r="F98" s="104"/>
      <c r="G98" s="104"/>
      <c r="H98" s="104"/>
      <c r="I98" s="19"/>
      <c r="J98" s="19"/>
      <c r="K98" s="19"/>
      <c r="L98" s="19"/>
      <c r="M98" s="19"/>
      <c r="N98" s="19"/>
      <c r="O98" s="19"/>
    </row>
    <row r="99" spans="1:15">
      <c r="A99" s="100"/>
      <c r="B99" s="36"/>
      <c r="D99" s="104"/>
      <c r="E99" s="104"/>
      <c r="F99" s="104"/>
      <c r="G99" s="104"/>
      <c r="H99" s="104"/>
      <c r="I99" s="19"/>
      <c r="J99" s="19"/>
      <c r="K99" s="19"/>
      <c r="L99" s="19"/>
      <c r="M99" s="19"/>
      <c r="N99" s="19"/>
      <c r="O99" s="19"/>
    </row>
    <row r="100" spans="1:15">
      <c r="A100" s="100"/>
      <c r="B100" s="36"/>
      <c r="D100" s="104"/>
      <c r="E100" s="104"/>
      <c r="F100" s="104"/>
      <c r="G100" s="104"/>
      <c r="H100" s="104"/>
      <c r="I100" s="19"/>
      <c r="J100" s="19"/>
      <c r="K100" s="19"/>
      <c r="L100" s="19"/>
      <c r="M100" s="19"/>
      <c r="N100" s="19"/>
      <c r="O100" s="19"/>
    </row>
    <row r="101" spans="1:15">
      <c r="A101" s="100"/>
      <c r="B101" s="36"/>
      <c r="D101" s="104"/>
      <c r="E101" s="104"/>
      <c r="F101" s="104"/>
      <c r="G101" s="104"/>
      <c r="H101" s="104"/>
      <c r="I101" s="19"/>
      <c r="J101" s="19"/>
      <c r="K101" s="19"/>
      <c r="L101" s="19"/>
      <c r="M101" s="19"/>
      <c r="N101" s="19"/>
      <c r="O101" s="19"/>
    </row>
    <row r="102" spans="1:15">
      <c r="A102" s="100"/>
      <c r="B102" s="36"/>
      <c r="D102" s="104"/>
      <c r="E102" s="104"/>
      <c r="F102" s="104"/>
      <c r="G102" s="104"/>
      <c r="H102" s="104"/>
      <c r="I102" s="19"/>
      <c r="J102" s="19"/>
      <c r="K102" s="19"/>
      <c r="L102" s="19"/>
      <c r="M102" s="19"/>
      <c r="N102" s="19"/>
      <c r="O102" s="19"/>
    </row>
    <row r="103" spans="1:15">
      <c r="A103" s="100"/>
      <c r="B103" s="36"/>
      <c r="D103" s="104"/>
      <c r="E103" s="104"/>
      <c r="F103" s="104"/>
      <c r="G103" s="104"/>
      <c r="H103" s="104"/>
      <c r="I103" s="19"/>
      <c r="J103" s="19"/>
      <c r="K103" s="19"/>
      <c r="L103" s="19"/>
      <c r="M103" s="19"/>
      <c r="N103" s="19"/>
      <c r="O103" s="19"/>
    </row>
    <row r="104" spans="1:15">
      <c r="A104" s="100"/>
      <c r="B104" s="36"/>
      <c r="D104" s="104"/>
      <c r="E104" s="104"/>
      <c r="F104" s="104"/>
      <c r="G104" s="104"/>
      <c r="H104" s="104"/>
      <c r="I104" s="19"/>
      <c r="J104" s="19"/>
      <c r="K104" s="19"/>
      <c r="L104" s="19"/>
      <c r="M104" s="19"/>
      <c r="N104" s="19"/>
      <c r="O104" s="19"/>
    </row>
    <row r="105" spans="1:15">
      <c r="A105" s="100"/>
      <c r="B105" s="36"/>
      <c r="D105" s="104"/>
      <c r="E105" s="104"/>
      <c r="F105" s="104"/>
      <c r="G105" s="104"/>
      <c r="H105" s="104"/>
      <c r="I105" s="19"/>
      <c r="J105" s="19"/>
      <c r="K105" s="19"/>
      <c r="L105" s="19"/>
      <c r="M105" s="19"/>
      <c r="N105" s="19"/>
      <c r="O105" s="19"/>
    </row>
    <row r="106" spans="1:15">
      <c r="A106" s="100"/>
      <c r="B106" s="36"/>
      <c r="D106" s="104"/>
      <c r="E106" s="104"/>
      <c r="F106" s="104"/>
      <c r="G106" s="104"/>
      <c r="H106" s="104"/>
      <c r="I106" s="19"/>
      <c r="J106" s="19"/>
      <c r="K106" s="19"/>
      <c r="L106" s="19"/>
      <c r="M106" s="19"/>
      <c r="N106" s="19"/>
      <c r="O106" s="19"/>
    </row>
    <row r="107" spans="1:15">
      <c r="A107" s="100"/>
      <c r="B107" s="36"/>
      <c r="D107" s="104"/>
      <c r="E107" s="104"/>
      <c r="F107" s="104"/>
      <c r="G107" s="104"/>
      <c r="H107" s="104"/>
      <c r="I107" s="19"/>
      <c r="J107" s="19"/>
      <c r="K107" s="19"/>
      <c r="L107" s="19"/>
      <c r="M107" s="19"/>
      <c r="N107" s="19"/>
      <c r="O107" s="19"/>
    </row>
    <row r="108" spans="1:15">
      <c r="A108" s="100"/>
      <c r="B108" s="36"/>
      <c r="D108" s="104"/>
      <c r="E108" s="104"/>
      <c r="F108" s="104"/>
      <c r="G108" s="104"/>
      <c r="H108" s="104"/>
      <c r="I108" s="19"/>
      <c r="J108" s="19"/>
      <c r="K108" s="19"/>
      <c r="L108" s="19"/>
      <c r="M108" s="19"/>
      <c r="N108" s="19"/>
      <c r="O108" s="19"/>
    </row>
    <row r="109" spans="1:15">
      <c r="A109" s="100"/>
      <c r="B109" s="36"/>
      <c r="D109" s="104"/>
      <c r="E109" s="104"/>
      <c r="F109" s="104"/>
      <c r="G109" s="104"/>
      <c r="H109" s="104"/>
      <c r="I109" s="19"/>
      <c r="J109" s="19"/>
      <c r="K109" s="19"/>
      <c r="L109" s="19"/>
      <c r="M109" s="19"/>
      <c r="N109" s="19"/>
      <c r="O109" s="19"/>
    </row>
    <row r="110" spans="1:15" ht="7.5" customHeight="1">
      <c r="A110" s="100"/>
      <c r="B110" s="36"/>
      <c r="D110" s="104"/>
      <c r="E110" s="104"/>
      <c r="F110" s="104"/>
      <c r="G110" s="104"/>
      <c r="H110" s="104"/>
      <c r="I110" s="19"/>
      <c r="J110" s="19"/>
      <c r="K110" s="19"/>
      <c r="L110" s="19"/>
      <c r="M110" s="19"/>
      <c r="N110" s="19"/>
      <c r="O110" s="19"/>
    </row>
    <row r="111" spans="1:15">
      <c r="A111" s="100" t="s">
        <v>706</v>
      </c>
      <c r="B111" s="36"/>
      <c r="D111" s="104"/>
      <c r="E111" s="104"/>
      <c r="F111" s="104"/>
      <c r="G111" s="104"/>
      <c r="H111" s="104"/>
      <c r="I111" s="19"/>
      <c r="J111" s="19"/>
      <c r="K111" s="19"/>
      <c r="L111" s="19"/>
      <c r="M111" s="19"/>
      <c r="N111" s="19"/>
      <c r="O111" s="19"/>
    </row>
    <row r="112" spans="1:15">
      <c r="A112" s="100"/>
      <c r="B112" s="36"/>
      <c r="D112" s="104"/>
      <c r="E112" s="104"/>
      <c r="F112" s="104"/>
      <c r="G112" s="104"/>
      <c r="H112" s="104"/>
      <c r="I112" s="19"/>
      <c r="J112" s="19"/>
      <c r="K112" s="19"/>
      <c r="L112" s="19"/>
      <c r="M112" s="19"/>
      <c r="N112" s="19"/>
      <c r="O112" s="19"/>
    </row>
    <row r="113" spans="1:15">
      <c r="A113" s="100"/>
      <c r="B113" s="36"/>
      <c r="D113" s="104"/>
      <c r="E113" s="104"/>
      <c r="F113" s="104"/>
      <c r="G113" s="104"/>
      <c r="H113" s="104"/>
      <c r="I113" s="19"/>
      <c r="J113" s="19"/>
      <c r="K113" s="19"/>
      <c r="L113" s="19"/>
      <c r="M113" s="19"/>
      <c r="N113" s="19"/>
      <c r="O113" s="19"/>
    </row>
    <row r="114" spans="1:15">
      <c r="A114" s="100"/>
      <c r="B114" s="36"/>
      <c r="D114" s="104"/>
      <c r="E114" s="104"/>
      <c r="F114" s="104"/>
      <c r="G114" s="104"/>
      <c r="H114" s="104"/>
      <c r="I114" s="19"/>
      <c r="J114" s="19"/>
      <c r="K114" s="19"/>
      <c r="L114" s="19"/>
      <c r="M114" s="19"/>
      <c r="N114" s="19"/>
      <c r="O114" s="19"/>
    </row>
    <row r="115" spans="1:15">
      <c r="A115" s="100"/>
      <c r="B115" s="36"/>
      <c r="D115" s="104"/>
      <c r="E115" s="104"/>
      <c r="F115" s="104"/>
      <c r="G115" s="104"/>
      <c r="H115" s="104"/>
      <c r="I115" s="19"/>
      <c r="J115" s="19"/>
      <c r="K115" s="19"/>
      <c r="L115" s="19"/>
      <c r="M115" s="19"/>
      <c r="N115" s="19"/>
      <c r="O115" s="19"/>
    </row>
    <row r="116" spans="1:15">
      <c r="A116" s="100"/>
      <c r="B116" s="36"/>
      <c r="D116" s="104"/>
      <c r="E116" s="104"/>
      <c r="F116" s="104"/>
      <c r="G116" s="104"/>
      <c r="H116" s="104"/>
      <c r="I116" s="19"/>
      <c r="J116" s="19"/>
      <c r="K116" s="19"/>
      <c r="L116" s="19"/>
      <c r="M116" s="19"/>
      <c r="N116" s="19"/>
      <c r="O116" s="19"/>
    </row>
    <row r="117" spans="1:15">
      <c r="A117" s="100"/>
      <c r="B117" s="36"/>
      <c r="D117" s="104"/>
      <c r="E117" s="104"/>
      <c r="F117" s="104"/>
      <c r="G117" s="104"/>
      <c r="H117" s="104"/>
      <c r="I117" s="19"/>
      <c r="J117" s="19"/>
      <c r="K117" s="19"/>
      <c r="L117" s="19"/>
      <c r="M117" s="19"/>
      <c r="N117" s="19"/>
      <c r="O117" s="19"/>
    </row>
    <row r="118" spans="1:15">
      <c r="A118" s="100"/>
      <c r="B118" s="36"/>
      <c r="D118" s="104"/>
      <c r="E118" s="104"/>
      <c r="F118" s="104"/>
      <c r="G118" s="104"/>
      <c r="H118" s="104"/>
      <c r="I118" s="19"/>
      <c r="J118" s="19"/>
      <c r="K118" s="19"/>
      <c r="L118" s="19"/>
      <c r="M118" s="19"/>
      <c r="N118" s="19"/>
      <c r="O118" s="19"/>
    </row>
    <row r="119" spans="1:15">
      <c r="A119" s="100"/>
      <c r="B119" s="36"/>
      <c r="D119" s="104"/>
      <c r="E119" s="104"/>
      <c r="F119" s="104"/>
      <c r="G119" s="104"/>
      <c r="H119" s="104"/>
      <c r="I119" s="19"/>
      <c r="J119" s="19"/>
      <c r="K119" s="19"/>
      <c r="L119" s="19"/>
      <c r="M119" s="19"/>
      <c r="N119" s="19"/>
      <c r="O119" s="19"/>
    </row>
    <row r="120" spans="1:15">
      <c r="A120" s="100"/>
      <c r="B120" s="36"/>
      <c r="D120" s="104"/>
      <c r="E120" s="104"/>
      <c r="F120" s="104"/>
      <c r="G120" s="104"/>
      <c r="H120" s="104"/>
      <c r="I120" s="19"/>
      <c r="J120" s="19"/>
      <c r="K120" s="19"/>
      <c r="L120" s="19"/>
      <c r="M120" s="19"/>
      <c r="N120" s="19"/>
      <c r="O120" s="19"/>
    </row>
    <row r="121" spans="1:15">
      <c r="A121" s="100"/>
      <c r="B121" s="36"/>
      <c r="D121" s="104"/>
      <c r="E121" s="104"/>
      <c r="F121" s="104"/>
      <c r="G121" s="104"/>
      <c r="H121" s="104"/>
      <c r="I121" s="19"/>
      <c r="J121" s="19"/>
      <c r="K121" s="19"/>
      <c r="L121" s="19"/>
      <c r="M121" s="19"/>
      <c r="N121" s="19"/>
      <c r="O121" s="19"/>
    </row>
    <row r="122" spans="1:15">
      <c r="A122" s="100"/>
      <c r="B122" s="36"/>
      <c r="D122" s="104"/>
      <c r="E122" s="104"/>
      <c r="F122" s="104"/>
      <c r="G122" s="104"/>
      <c r="H122" s="104"/>
      <c r="I122" s="19"/>
      <c r="J122" s="19"/>
      <c r="K122" s="19"/>
      <c r="L122" s="19"/>
      <c r="M122" s="19"/>
      <c r="N122" s="19"/>
      <c r="O122" s="19"/>
    </row>
    <row r="123" spans="1:15">
      <c r="A123" s="100"/>
      <c r="B123" s="36"/>
      <c r="D123" s="104"/>
      <c r="E123" s="104"/>
      <c r="F123" s="104"/>
      <c r="G123" s="104"/>
      <c r="H123" s="104"/>
      <c r="I123" s="19"/>
      <c r="J123" s="19"/>
      <c r="K123" s="19"/>
      <c r="L123" s="19"/>
      <c r="M123" s="19"/>
      <c r="N123" s="19"/>
      <c r="O123" s="19"/>
    </row>
    <row r="124" spans="1:15">
      <c r="A124" s="100"/>
      <c r="B124" s="36"/>
      <c r="D124" s="104"/>
      <c r="E124" s="104"/>
      <c r="F124" s="104"/>
      <c r="G124" s="104"/>
      <c r="H124" s="104"/>
      <c r="I124" s="19"/>
      <c r="J124" s="19"/>
      <c r="K124" s="19"/>
      <c r="L124" s="19"/>
      <c r="M124" s="19"/>
      <c r="N124" s="19"/>
      <c r="O124" s="19"/>
    </row>
    <row r="125" spans="1:15">
      <c r="A125" s="100"/>
      <c r="B125" s="36"/>
      <c r="D125" s="104"/>
      <c r="E125" s="104"/>
      <c r="F125" s="104"/>
      <c r="G125" s="104"/>
      <c r="H125" s="104"/>
      <c r="I125" s="19"/>
      <c r="J125" s="19"/>
      <c r="K125" s="19"/>
      <c r="L125" s="19"/>
      <c r="M125" s="19"/>
      <c r="N125" s="19"/>
      <c r="O125" s="19"/>
    </row>
    <row r="126" spans="1:15">
      <c r="A126" s="100"/>
      <c r="B126" s="36"/>
      <c r="D126" s="104"/>
      <c r="E126" s="104"/>
      <c r="F126" s="104"/>
      <c r="G126" s="104"/>
      <c r="H126" s="104"/>
      <c r="I126" s="19"/>
      <c r="J126" s="19"/>
      <c r="K126" s="19"/>
      <c r="L126" s="19"/>
      <c r="M126" s="19"/>
      <c r="N126" s="19"/>
      <c r="O126" s="19"/>
    </row>
    <row r="127" spans="1:15">
      <c r="A127" s="100"/>
      <c r="B127" s="36"/>
      <c r="D127" s="104"/>
      <c r="E127" s="104"/>
      <c r="F127" s="104"/>
      <c r="G127" s="104"/>
      <c r="H127" s="104"/>
      <c r="I127" s="19"/>
      <c r="J127" s="19"/>
      <c r="K127" s="19"/>
      <c r="L127" s="19"/>
      <c r="M127" s="19"/>
      <c r="N127" s="19"/>
      <c r="O127" s="19"/>
    </row>
    <row r="128" spans="1:15">
      <c r="A128" s="100"/>
      <c r="B128" s="36"/>
      <c r="D128" s="104"/>
      <c r="E128" s="104"/>
      <c r="F128" s="104"/>
      <c r="G128" s="104"/>
      <c r="H128" s="104"/>
      <c r="I128" s="19"/>
      <c r="J128" s="19"/>
      <c r="K128" s="19"/>
      <c r="L128" s="19"/>
      <c r="M128" s="19"/>
      <c r="N128" s="19"/>
      <c r="O128" s="19"/>
    </row>
    <row r="129" spans="1:15">
      <c r="A129" s="100" t="s">
        <v>729</v>
      </c>
      <c r="B129" s="36"/>
      <c r="D129" s="104"/>
      <c r="E129" s="104"/>
      <c r="F129" s="104"/>
      <c r="G129" s="104"/>
      <c r="H129" s="104"/>
      <c r="I129" s="19"/>
      <c r="J129" s="19"/>
      <c r="K129" s="19"/>
      <c r="L129" s="19"/>
      <c r="M129" s="19"/>
      <c r="N129" s="19"/>
      <c r="O129" s="19"/>
    </row>
    <row r="130" spans="1:15">
      <c r="A130" s="100" t="s">
        <v>730</v>
      </c>
      <c r="B130" s="36"/>
      <c r="D130" s="104"/>
      <c r="E130" s="104"/>
      <c r="F130" s="104"/>
      <c r="G130" s="104"/>
      <c r="H130" s="104"/>
      <c r="I130" s="19"/>
      <c r="J130" s="19"/>
      <c r="K130" s="19"/>
      <c r="L130" s="19"/>
      <c r="M130" s="19"/>
      <c r="N130" s="19"/>
      <c r="O130" s="19"/>
    </row>
    <row r="131" spans="1:15">
      <c r="A131" s="100"/>
      <c r="B131" s="36"/>
      <c r="D131" s="104"/>
      <c r="E131" s="104"/>
      <c r="F131" s="104"/>
      <c r="G131" s="104"/>
      <c r="H131" s="104"/>
      <c r="I131" s="19"/>
      <c r="J131" s="19"/>
      <c r="K131" s="19"/>
      <c r="L131" s="19"/>
      <c r="M131" s="19"/>
      <c r="N131" s="19"/>
      <c r="O131" s="19"/>
    </row>
    <row r="132" spans="1:15">
      <c r="A132" s="100" t="s">
        <v>506</v>
      </c>
      <c r="B132" s="36"/>
      <c r="D132" s="104"/>
      <c r="E132" s="104"/>
      <c r="F132" s="104"/>
      <c r="G132" s="104"/>
      <c r="H132" s="104"/>
      <c r="I132" s="19"/>
      <c r="J132" s="19"/>
      <c r="K132" s="19"/>
      <c r="L132" s="19"/>
      <c r="M132" s="19"/>
      <c r="N132" s="19"/>
      <c r="O132" s="19"/>
    </row>
    <row r="133" spans="1:15">
      <c r="A133" s="100"/>
      <c r="B133" s="36"/>
      <c r="D133" s="104"/>
      <c r="E133" s="104"/>
      <c r="F133" s="104"/>
      <c r="G133" s="104"/>
      <c r="H133" s="104"/>
      <c r="I133" s="19"/>
      <c r="J133" s="19"/>
      <c r="K133" s="19"/>
      <c r="L133" s="19"/>
      <c r="M133" s="19"/>
      <c r="N133" s="19"/>
      <c r="O133" s="19"/>
    </row>
    <row r="134" spans="1:15">
      <c r="A134" s="4" t="s">
        <v>503</v>
      </c>
      <c r="B134" s="36"/>
      <c r="D134" s="104"/>
      <c r="E134" s="104"/>
      <c r="F134" s="104"/>
      <c r="G134" s="104"/>
      <c r="H134" s="104"/>
      <c r="I134" s="19"/>
      <c r="J134" s="19"/>
      <c r="K134" s="19"/>
      <c r="L134" s="19"/>
      <c r="M134" s="19"/>
      <c r="N134" s="19"/>
      <c r="O134" s="19"/>
    </row>
    <row r="135" spans="1:15">
      <c r="B135" s="36"/>
      <c r="C135" s="134" t="s">
        <v>523</v>
      </c>
      <c r="D135" s="104"/>
      <c r="E135" s="104"/>
      <c r="F135" s="104"/>
      <c r="G135" s="104"/>
      <c r="H135" s="104"/>
      <c r="I135" s="19"/>
      <c r="J135" s="19"/>
      <c r="K135" s="19"/>
      <c r="L135" s="19"/>
      <c r="M135" s="19"/>
      <c r="N135" s="19"/>
      <c r="O135" s="19"/>
    </row>
    <row r="136" spans="1:15" ht="6" customHeight="1">
      <c r="B136" s="36"/>
      <c r="C136" s="134"/>
      <c r="D136" s="104"/>
      <c r="E136" s="104"/>
      <c r="F136" s="104"/>
      <c r="G136" s="104"/>
      <c r="H136" s="104"/>
      <c r="I136" s="19"/>
      <c r="J136" s="19"/>
      <c r="K136" s="19"/>
      <c r="L136" s="19"/>
      <c r="M136" s="19"/>
      <c r="N136" s="19"/>
      <c r="O136" s="19"/>
    </row>
    <row r="137" spans="1:15">
      <c r="B137" s="101" t="s">
        <v>494</v>
      </c>
      <c r="C137" s="101" t="s">
        <v>495</v>
      </c>
      <c r="D137" s="101" t="s">
        <v>496</v>
      </c>
      <c r="E137" s="101" t="s">
        <v>497</v>
      </c>
      <c r="F137" s="101" t="s">
        <v>498</v>
      </c>
      <c r="G137" s="104"/>
      <c r="H137" s="104"/>
      <c r="I137" s="19"/>
      <c r="J137" s="19"/>
      <c r="K137" s="19"/>
      <c r="L137" s="19"/>
      <c r="M137" s="19"/>
      <c r="N137" s="19"/>
      <c r="O137" s="19"/>
    </row>
    <row r="138" spans="1:15">
      <c r="A138" s="19" t="s">
        <v>479</v>
      </c>
      <c r="B138" s="112">
        <f>CORREL(C40:C45,$B40:$B45)</f>
        <v>0.99825499549278918</v>
      </c>
      <c r="C138" s="113">
        <f>CORREL(D40:D45,$B40:$B45)</f>
        <v>0.99754005424651127</v>
      </c>
      <c r="D138" s="113">
        <f>CORREL(E40:E45,$B40:$B45)</f>
        <v>0.99633575055420975</v>
      </c>
      <c r="E138" s="113">
        <f>CORREL(F40:F45,$B40:$B45)</f>
        <v>0.9975400542465116</v>
      </c>
      <c r="F138" s="114">
        <f>CORREL(G40:G45,$B40:$B45)</f>
        <v>0.99754005424651127</v>
      </c>
      <c r="G138" s="19" t="s">
        <v>480</v>
      </c>
      <c r="H138" s="19"/>
      <c r="I138" s="19"/>
      <c r="K138" s="19"/>
      <c r="L138" s="19"/>
      <c r="M138" s="19"/>
      <c r="N138" s="19"/>
      <c r="O138" s="19"/>
    </row>
    <row r="139" spans="1:15">
      <c r="A139" s="19" t="s">
        <v>481</v>
      </c>
      <c r="B139" s="115">
        <f>SLOPE(C40:C45,$B40:$B45)</f>
        <v>1.0012299902868005</v>
      </c>
      <c r="C139" s="111">
        <f>SLOPE(D40:D45,$B40:$B45)</f>
        <v>0.85038108745115248</v>
      </c>
      <c r="D139" s="111">
        <f>SLOPE(E40:E45,$B40:$B45)</f>
        <v>0.72169212576224717</v>
      </c>
      <c r="E139" s="111">
        <f>SLOPE(F40:F45,$B40:$B45)</f>
        <v>1.0204573049413832</v>
      </c>
      <c r="F139" s="116">
        <f>SLOPE(G40:G45,$B40:$B45)</f>
        <v>1.1905335224316134</v>
      </c>
      <c r="G139" s="19" t="s">
        <v>480</v>
      </c>
      <c r="H139" s="19"/>
      <c r="I139" s="19"/>
      <c r="K139" s="19"/>
      <c r="L139" s="19"/>
      <c r="M139" s="19"/>
      <c r="N139" s="19"/>
      <c r="O139" s="19"/>
    </row>
    <row r="140" spans="1:15">
      <c r="A140" s="19" t="s">
        <v>482</v>
      </c>
      <c r="B140" s="117">
        <f>INTERCEPT(C40:C45,$B40:$B45)</f>
        <v>-0.43391963866303662</v>
      </c>
      <c r="C140" s="118">
        <f>INTERCEPT(D40:D45,$B40:$B45)</f>
        <v>-0.24966584701404937</v>
      </c>
      <c r="D140" s="118">
        <f>INTERCEPT(E40:E45,$B40:$B45)</f>
        <v>-0.1009448163761304</v>
      </c>
      <c r="E140" s="118">
        <f>INTERCEPT(F40:F45,$B40:$B45)</f>
        <v>-0.29959901641686049</v>
      </c>
      <c r="F140" s="119">
        <f>INTERCEPT(G40:G45,$B40:$B45)</f>
        <v>-0.34953218581966805</v>
      </c>
      <c r="G140" s="19" t="s">
        <v>478</v>
      </c>
      <c r="H140" s="19"/>
      <c r="I140" s="19"/>
      <c r="K140" s="19"/>
      <c r="L140" s="19"/>
      <c r="M140" s="19"/>
      <c r="N140" s="19"/>
      <c r="O140" s="19"/>
    </row>
    <row r="141" spans="1:15" ht="9" customHeight="1">
      <c r="A141" s="100"/>
      <c r="B141" s="36"/>
      <c r="D141" s="104"/>
      <c r="E141" s="104"/>
      <c r="F141" s="104"/>
      <c r="G141" s="104"/>
      <c r="H141" s="104"/>
      <c r="I141" s="19"/>
      <c r="J141" s="19"/>
      <c r="K141" s="19"/>
      <c r="L141" s="19"/>
      <c r="M141" s="19"/>
      <c r="N141" s="19"/>
      <c r="O141" s="19"/>
    </row>
    <row r="142" spans="1:15">
      <c r="A142" s="100"/>
      <c r="B142" s="36"/>
      <c r="C142" s="134" t="s">
        <v>521</v>
      </c>
      <c r="D142" s="104"/>
      <c r="E142" s="104"/>
      <c r="F142" s="104"/>
      <c r="G142" s="104"/>
      <c r="H142" s="104"/>
      <c r="I142" s="19"/>
      <c r="J142" s="19"/>
      <c r="K142" s="19"/>
      <c r="L142" s="19"/>
      <c r="M142" s="19"/>
      <c r="N142" s="19"/>
      <c r="O142" s="19"/>
    </row>
    <row r="143" spans="1:15">
      <c r="A143" s="100"/>
      <c r="B143" s="36"/>
      <c r="D143" s="104"/>
      <c r="E143" s="104"/>
      <c r="F143" s="133" t="s">
        <v>522</v>
      </c>
      <c r="G143" s="104"/>
      <c r="H143" s="104"/>
      <c r="I143" s="19"/>
      <c r="J143" s="19"/>
      <c r="K143" s="19"/>
      <c r="L143" s="19"/>
      <c r="M143" s="19"/>
      <c r="N143" s="19"/>
      <c r="O143" s="19"/>
    </row>
    <row r="144" spans="1:15">
      <c r="A144" s="4" t="s">
        <v>727</v>
      </c>
      <c r="B144" s="36"/>
      <c r="D144" s="104"/>
      <c r="E144" s="104"/>
      <c r="F144" s="133"/>
      <c r="G144" s="104"/>
      <c r="H144" s="104"/>
      <c r="I144" s="19"/>
      <c r="J144" s="19"/>
      <c r="K144" s="19"/>
      <c r="L144" s="19"/>
      <c r="M144" s="19"/>
      <c r="N144" s="19"/>
      <c r="O144" s="19"/>
    </row>
    <row r="145" spans="1:15">
      <c r="B145" s="36"/>
      <c r="C145" s="136" t="s">
        <v>519</v>
      </c>
      <c r="D145" s="104"/>
      <c r="E145" s="104"/>
      <c r="F145" s="104"/>
      <c r="G145" s="104"/>
      <c r="H145" s="104"/>
      <c r="I145" s="19"/>
      <c r="J145" s="19"/>
      <c r="K145" s="19"/>
      <c r="L145" s="19"/>
      <c r="M145" s="19"/>
      <c r="N145" s="19"/>
      <c r="O145" s="19"/>
    </row>
    <row r="146" spans="1:15" ht="6" customHeight="1">
      <c r="B146" s="36"/>
      <c r="C146" s="136"/>
      <c r="D146" s="104"/>
      <c r="E146" s="104"/>
      <c r="F146" s="104"/>
      <c r="G146" s="104"/>
      <c r="H146" s="104"/>
      <c r="I146" s="19"/>
      <c r="J146" s="19"/>
      <c r="K146" s="19"/>
      <c r="L146" s="19"/>
      <c r="M146" s="19"/>
      <c r="N146" s="19"/>
      <c r="O146" s="19"/>
    </row>
    <row r="147" spans="1:15">
      <c r="B147" s="101" t="s">
        <v>494</v>
      </c>
      <c r="C147" s="101" t="s">
        <v>495</v>
      </c>
      <c r="D147" s="101" t="s">
        <v>496</v>
      </c>
      <c r="E147" s="101" t="s">
        <v>497</v>
      </c>
      <c r="F147" s="101" t="s">
        <v>498</v>
      </c>
      <c r="G147" s="104"/>
      <c r="H147" s="104"/>
      <c r="I147" s="19"/>
      <c r="J147" s="19"/>
      <c r="K147" s="19"/>
      <c r="L147" s="19"/>
      <c r="M147" s="19"/>
      <c r="N147" s="19"/>
      <c r="O147" s="19"/>
    </row>
    <row r="148" spans="1:15">
      <c r="A148" s="19" t="s">
        <v>477</v>
      </c>
      <c r="B148" s="107">
        <f>AVERAGE(C47:C52)</f>
        <v>-0.426929193866388</v>
      </c>
      <c r="C148" s="108">
        <f>AVERAGE(D47:D52)</f>
        <v>-1.0999999999999999</v>
      </c>
      <c r="D148" s="108">
        <f>AVERAGE(E47:E52)</f>
        <v>-1.6826612349606929</v>
      </c>
      <c r="E148" s="108">
        <f>AVERAGE(F47:F52)</f>
        <v>-0.18333333333333343</v>
      </c>
      <c r="F148" s="98">
        <f>AVERAGE(G47:G52)</f>
        <v>0.73333333333333328</v>
      </c>
      <c r="G148" s="19" t="s">
        <v>478</v>
      </c>
      <c r="H148" s="19"/>
      <c r="I148" s="19"/>
      <c r="J148" s="19"/>
      <c r="K148" s="19"/>
      <c r="L148" s="19"/>
      <c r="M148" s="19"/>
      <c r="N148" s="19"/>
      <c r="O148" s="19"/>
    </row>
    <row r="149" spans="1:15">
      <c r="A149" s="19" t="s">
        <v>491</v>
      </c>
      <c r="B149" s="109">
        <f>STDEVP(C47:C52)</f>
        <v>0.30909462291438239</v>
      </c>
      <c r="C149" s="110">
        <f>STDEVP(D47:D52)</f>
        <v>0.84063468086123239</v>
      </c>
      <c r="D149" s="110">
        <f>STDEVP(E47:E52)</f>
        <v>1.4876788134453036</v>
      </c>
      <c r="E149" s="110">
        <f>STDEVP(F47:F52)</f>
        <v>0.38908725099762498</v>
      </c>
      <c r="F149" s="99">
        <f>STDEVP(G47:G52)</f>
        <v>1.0857664983268223</v>
      </c>
      <c r="G149" s="19" t="s">
        <v>478</v>
      </c>
      <c r="H149" s="19"/>
      <c r="I149" s="19"/>
      <c r="J149" s="19"/>
      <c r="K149" s="19"/>
      <c r="L149" s="19"/>
      <c r="M149" s="19"/>
      <c r="N149" s="19"/>
      <c r="O149" s="19"/>
    </row>
    <row r="150" spans="1:15">
      <c r="A150" s="100"/>
      <c r="I150" s="19"/>
      <c r="J150" s="19"/>
      <c r="K150" s="19"/>
      <c r="L150" s="19"/>
      <c r="M150" s="19"/>
      <c r="N150" s="19"/>
      <c r="O150" s="19"/>
    </row>
    <row r="151" spans="1:15">
      <c r="A151" s="100"/>
      <c r="B151" s="36"/>
      <c r="C151" s="135" t="s">
        <v>520</v>
      </c>
      <c r="D151" s="104"/>
      <c r="E151" s="19" t="s">
        <v>507</v>
      </c>
      <c r="F151" s="19"/>
      <c r="H151" s="104"/>
      <c r="I151" s="19"/>
      <c r="J151" s="19"/>
      <c r="K151" s="19"/>
      <c r="L151" s="19"/>
      <c r="M151" s="19"/>
      <c r="N151" s="19"/>
      <c r="O151" s="19"/>
    </row>
    <row r="152" spans="1:15">
      <c r="A152" s="100"/>
      <c r="B152" s="36"/>
      <c r="D152" s="104"/>
      <c r="E152" s="19" t="s">
        <v>504</v>
      </c>
      <c r="F152" s="19"/>
      <c r="G152" s="19"/>
      <c r="H152" s="104"/>
      <c r="I152" s="19"/>
      <c r="J152" s="19"/>
      <c r="K152" s="19"/>
      <c r="L152" s="19"/>
      <c r="M152" s="19"/>
      <c r="N152" s="19"/>
      <c r="O152" s="19"/>
    </row>
    <row r="153" spans="1:15">
      <c r="A153" s="100"/>
      <c r="B153" s="36"/>
      <c r="D153" s="104"/>
      <c r="E153" s="19" t="s">
        <v>508</v>
      </c>
      <c r="F153" s="19"/>
      <c r="G153" s="19"/>
      <c r="H153" s="104"/>
      <c r="I153" s="19"/>
      <c r="J153" s="19"/>
      <c r="K153" s="19"/>
      <c r="L153" s="19"/>
      <c r="M153" s="19"/>
      <c r="N153" s="19"/>
      <c r="O153" s="19"/>
    </row>
    <row r="154" spans="1:15">
      <c r="A154" s="19"/>
      <c r="B154" s="19"/>
      <c r="C154" s="36"/>
      <c r="G154" s="19"/>
      <c r="I154" s="19"/>
      <c r="J154" s="19"/>
      <c r="K154" s="19"/>
      <c r="L154" s="19"/>
      <c r="M154" s="19"/>
      <c r="N154" s="19"/>
      <c r="O154" s="19"/>
    </row>
    <row r="155" spans="1:15">
      <c r="A155" s="19" t="s">
        <v>505</v>
      </c>
      <c r="B155" s="19"/>
      <c r="C155" s="19"/>
      <c r="I155" s="19"/>
      <c r="J155" s="19"/>
      <c r="K155" s="19"/>
      <c r="L155" s="19"/>
      <c r="M155" s="19"/>
      <c r="N155" s="19"/>
      <c r="O155" s="19"/>
    </row>
    <row r="156" spans="1:15">
      <c r="A156" s="19" t="s">
        <v>483</v>
      </c>
      <c r="B156" s="19"/>
      <c r="C156" s="19"/>
      <c r="I156" s="19"/>
      <c r="J156" s="19"/>
      <c r="K156" s="19"/>
      <c r="L156" s="19"/>
      <c r="M156" s="19"/>
      <c r="N156" s="19"/>
      <c r="O156" s="19"/>
    </row>
    <row r="157" spans="1:15">
      <c r="A157" s="19" t="s">
        <v>484</v>
      </c>
      <c r="I157" s="19"/>
      <c r="J157" s="19"/>
      <c r="K157" s="19"/>
      <c r="L157" s="19"/>
      <c r="M157" s="19"/>
      <c r="N157" s="19"/>
      <c r="O157" s="19"/>
    </row>
    <row r="158" spans="1:15">
      <c r="A158" s="14" t="s">
        <v>485</v>
      </c>
      <c r="B158" s="14"/>
      <c r="C158" s="14"/>
      <c r="D158" s="14"/>
      <c r="E158" s="14"/>
      <c r="F158" s="14"/>
      <c r="I158" s="19"/>
      <c r="J158" s="19"/>
      <c r="K158" s="19"/>
      <c r="L158" s="19"/>
      <c r="M158" s="19"/>
      <c r="N158" s="19"/>
      <c r="O158" s="19"/>
    </row>
    <row r="159" spans="1:15">
      <c r="A159" s="14" t="s">
        <v>486</v>
      </c>
      <c r="B159" s="14"/>
      <c r="C159" s="14"/>
      <c r="D159" s="14"/>
      <c r="I159" s="19"/>
      <c r="J159" s="19"/>
      <c r="K159" s="19"/>
      <c r="L159" s="19"/>
      <c r="M159" s="19"/>
      <c r="N159" s="19"/>
      <c r="O159" s="19"/>
    </row>
    <row r="160" spans="1:15">
      <c r="A160" s="19"/>
      <c r="I160" s="19"/>
      <c r="J160" s="19"/>
      <c r="K160" s="19"/>
      <c r="L160" s="19"/>
      <c r="M160" s="19"/>
      <c r="N160" s="19"/>
      <c r="O160" s="19"/>
    </row>
    <row r="161" spans="1:15">
      <c r="A161" s="19" t="s">
        <v>509</v>
      </c>
      <c r="I161" s="19"/>
      <c r="J161" s="19"/>
      <c r="K161" s="19"/>
      <c r="L161" s="19"/>
      <c r="M161" s="19"/>
      <c r="N161" s="19"/>
      <c r="O161" s="19"/>
    </row>
    <row r="162" spans="1:15">
      <c r="I162" s="19"/>
      <c r="J162" s="19"/>
      <c r="K162" s="19"/>
      <c r="L162" s="19"/>
      <c r="M162" s="19"/>
      <c r="N162" s="19"/>
      <c r="O162" s="19"/>
    </row>
    <row r="163" spans="1:15">
      <c r="A163" s="19" t="s">
        <v>605</v>
      </c>
      <c r="I163" s="19"/>
      <c r="J163" s="19"/>
      <c r="K163" s="19"/>
      <c r="L163" s="19"/>
      <c r="M163" s="19"/>
      <c r="N163" s="19"/>
      <c r="O163" s="19"/>
    </row>
    <row r="164" spans="1:15">
      <c r="A164" s="19"/>
      <c r="I164" s="19"/>
      <c r="J164" s="19"/>
      <c r="K164" s="19"/>
      <c r="L164" s="19"/>
      <c r="M164" s="19"/>
      <c r="N164" s="19"/>
      <c r="O164" s="19"/>
    </row>
    <row r="165" spans="1:15">
      <c r="A165" s="19"/>
      <c r="B165" s="101" t="s">
        <v>494</v>
      </c>
      <c r="C165" s="101" t="s">
        <v>495</v>
      </c>
      <c r="D165" s="101" t="s">
        <v>496</v>
      </c>
      <c r="E165" s="101" t="s">
        <v>497</v>
      </c>
      <c r="F165" s="101" t="s">
        <v>498</v>
      </c>
      <c r="I165" s="19"/>
      <c r="J165" s="19"/>
      <c r="K165" s="19"/>
      <c r="L165" s="19"/>
      <c r="M165" s="19"/>
      <c r="N165" s="19"/>
      <c r="O165" s="19"/>
    </row>
    <row r="166" spans="1:15">
      <c r="A166" s="19" t="s">
        <v>477</v>
      </c>
      <c r="B166" s="107">
        <f>AVERAGE(C48:C52)</f>
        <v>-0.31231503263966565</v>
      </c>
      <c r="C166" s="108">
        <f t="shared" ref="C166:F166" si="8">AVERAGE(D48:D52)</f>
        <v>-1.1199999999999999</v>
      </c>
      <c r="D166" s="108">
        <f t="shared" si="8"/>
        <v>-1.8191934819528313</v>
      </c>
      <c r="E166" s="108">
        <f t="shared" si="8"/>
        <v>-2.0000000000000129E-2</v>
      </c>
      <c r="F166" s="98">
        <f t="shared" si="8"/>
        <v>1.0799999999999998</v>
      </c>
      <c r="G166" s="19" t="s">
        <v>478</v>
      </c>
      <c r="I166" s="19"/>
      <c r="J166" s="19"/>
      <c r="K166" s="19"/>
      <c r="L166" s="19"/>
      <c r="M166" s="19"/>
      <c r="N166" s="19"/>
      <c r="O166" s="19"/>
    </row>
    <row r="167" spans="1:15">
      <c r="A167" s="19" t="s">
        <v>491</v>
      </c>
      <c r="B167" s="109">
        <f>STDEVP(C48:C52)</f>
        <v>0.18928535964323925</v>
      </c>
      <c r="C167" s="110">
        <f t="shared" ref="C167:F167" si="9">STDEVP(D48:D52)</f>
        <v>0.9195651146058117</v>
      </c>
      <c r="D167" s="110">
        <f t="shared" si="9"/>
        <v>1.5949857602989743</v>
      </c>
      <c r="E167" s="110">
        <f t="shared" si="9"/>
        <v>0.14696938456699038</v>
      </c>
      <c r="F167" s="99">
        <f t="shared" si="9"/>
        <v>0.83282651254628071</v>
      </c>
      <c r="G167" s="19" t="s">
        <v>478</v>
      </c>
      <c r="I167" s="19"/>
      <c r="J167" s="19"/>
      <c r="K167" s="19"/>
      <c r="L167" s="19"/>
      <c r="M167" s="19"/>
      <c r="N167" s="19"/>
      <c r="O167" s="19"/>
    </row>
    <row r="168" spans="1:15">
      <c r="A168" s="19"/>
      <c r="I168" s="19"/>
      <c r="J168" s="19"/>
      <c r="K168" s="19"/>
      <c r="L168" s="19"/>
      <c r="M168" s="19"/>
      <c r="N168" s="19"/>
      <c r="O168" s="19"/>
    </row>
    <row r="169" spans="1:15">
      <c r="A169" s="19"/>
      <c r="B169" s="135" t="s">
        <v>524</v>
      </c>
      <c r="D169" s="2" t="s">
        <v>566</v>
      </c>
      <c r="I169" s="19"/>
      <c r="J169" s="19"/>
      <c r="K169" s="19"/>
      <c r="L169" s="19"/>
      <c r="M169" s="19"/>
      <c r="N169" s="19"/>
      <c r="O169" s="19"/>
    </row>
    <row r="170" spans="1:15">
      <c r="D170" s="105"/>
      <c r="E170" s="105"/>
      <c r="F170" s="105"/>
      <c r="G170" s="105"/>
      <c r="H170" s="105"/>
      <c r="I170" s="19"/>
      <c r="J170" s="19"/>
      <c r="K170" s="19"/>
      <c r="L170" s="19"/>
      <c r="M170" s="19"/>
      <c r="N170" s="19"/>
      <c r="O170" s="19"/>
    </row>
    <row r="171" spans="1:15">
      <c r="A171" s="19" t="s">
        <v>511</v>
      </c>
      <c r="D171" s="105"/>
      <c r="E171" s="105"/>
      <c r="F171" s="105"/>
      <c r="G171" s="105"/>
      <c r="H171" s="105"/>
      <c r="I171" s="19"/>
      <c r="J171" s="19"/>
      <c r="K171" s="19"/>
      <c r="L171" s="19"/>
      <c r="M171" s="19"/>
      <c r="N171" s="19"/>
      <c r="O171" s="19"/>
    </row>
    <row r="172" spans="1:15">
      <c r="A172" s="19" t="s">
        <v>510</v>
      </c>
      <c r="D172" s="105"/>
      <c r="E172" s="105"/>
      <c r="F172" s="105"/>
      <c r="G172" s="105"/>
      <c r="H172" s="105"/>
      <c r="I172" s="19"/>
      <c r="J172" s="19"/>
      <c r="K172" s="19"/>
      <c r="L172" s="19"/>
      <c r="M172" s="19"/>
      <c r="N172" s="19"/>
      <c r="O172" s="19"/>
    </row>
    <row r="173" spans="1:15">
      <c r="A173" s="19" t="s">
        <v>487</v>
      </c>
      <c r="D173" s="105"/>
      <c r="E173" s="105"/>
      <c r="F173" s="105"/>
      <c r="G173" s="105"/>
      <c r="H173" s="105"/>
      <c r="I173" s="19"/>
      <c r="J173" s="19"/>
      <c r="K173" s="19"/>
      <c r="L173" s="19"/>
      <c r="M173" s="19"/>
      <c r="N173" s="19"/>
      <c r="O173" s="19"/>
    </row>
    <row r="174" spans="1:15">
      <c r="B174" s="19"/>
      <c r="D174" s="105"/>
      <c r="E174" s="105"/>
      <c r="F174" s="105"/>
      <c r="G174" s="105"/>
      <c r="H174" s="105"/>
      <c r="I174" s="19"/>
      <c r="J174" s="19"/>
      <c r="K174" s="19"/>
      <c r="L174" s="19"/>
      <c r="M174" s="19"/>
      <c r="N174" s="19"/>
      <c r="O174" s="19"/>
    </row>
    <row r="175" spans="1:15">
      <c r="A175" s="4" t="s">
        <v>805</v>
      </c>
      <c r="G175" s="105"/>
      <c r="H175" s="105"/>
      <c r="I175" s="19"/>
      <c r="J175" s="19"/>
      <c r="K175" s="19"/>
      <c r="L175" s="19"/>
      <c r="M175" s="19"/>
      <c r="N175" s="19"/>
      <c r="O175" s="19"/>
    </row>
    <row r="176" spans="1:15" ht="6" customHeight="1">
      <c r="G176" s="105"/>
      <c r="H176" s="105"/>
      <c r="I176" s="19"/>
      <c r="J176" s="19"/>
      <c r="K176" s="19"/>
      <c r="L176" s="19"/>
      <c r="M176" s="19"/>
      <c r="N176" s="19"/>
      <c r="O176" s="19"/>
    </row>
    <row r="177" spans="1:15" ht="16.2">
      <c r="A177" s="2" t="s">
        <v>713</v>
      </c>
      <c r="H177" s="105"/>
      <c r="I177" s="19"/>
      <c r="J177" s="19"/>
      <c r="K177" s="19"/>
      <c r="L177" s="19"/>
      <c r="M177" s="19"/>
      <c r="N177" s="19"/>
      <c r="O177" s="19"/>
    </row>
    <row r="178" spans="1:15">
      <c r="A178" s="2" t="s">
        <v>560</v>
      </c>
      <c r="B178" s="19"/>
      <c r="D178" s="105"/>
      <c r="E178" s="105"/>
      <c r="F178" s="105"/>
      <c r="G178" s="105"/>
      <c r="H178" s="105"/>
      <c r="I178" s="19"/>
      <c r="J178" s="19"/>
      <c r="K178" s="19"/>
      <c r="L178" s="19"/>
      <c r="M178" s="19"/>
      <c r="N178" s="19"/>
      <c r="O178" s="19"/>
    </row>
    <row r="179" spans="1:15">
      <c r="A179" s="2" t="s">
        <v>561</v>
      </c>
      <c r="F179" s="2" t="s">
        <v>562</v>
      </c>
      <c r="G179" s="105"/>
      <c r="H179" s="105"/>
      <c r="I179" s="19"/>
      <c r="J179" s="19"/>
      <c r="K179" s="19"/>
      <c r="L179" s="19"/>
      <c r="M179" s="19"/>
      <c r="N179" s="19"/>
      <c r="O179" s="19"/>
    </row>
    <row r="180" spans="1:15">
      <c r="I180" s="19"/>
      <c r="J180" s="19"/>
      <c r="K180" s="19"/>
      <c r="L180" s="19"/>
      <c r="M180" s="19"/>
      <c r="N180" s="19"/>
      <c r="O180" s="19"/>
    </row>
    <row r="181" spans="1:15">
      <c r="A181" s="100" t="s">
        <v>905</v>
      </c>
      <c r="I181" s="19"/>
      <c r="J181" s="19"/>
      <c r="K181" s="19"/>
      <c r="L181" s="19"/>
      <c r="M181" s="19"/>
      <c r="N181" s="19"/>
      <c r="O181" s="19"/>
    </row>
    <row r="182" spans="1:15">
      <c r="B182" s="19"/>
      <c r="D182" s="105"/>
      <c r="E182" s="105"/>
      <c r="F182" s="105"/>
      <c r="G182" s="105"/>
      <c r="H182" s="105"/>
      <c r="I182" s="19"/>
      <c r="J182" s="19"/>
      <c r="K182" s="19"/>
      <c r="L182" s="19"/>
      <c r="M182" s="19"/>
      <c r="N182" s="19"/>
      <c r="O182" s="19"/>
    </row>
    <row r="183" spans="1:15">
      <c r="A183" s="2" t="s">
        <v>806</v>
      </c>
      <c r="B183" s="19"/>
      <c r="D183" s="105"/>
      <c r="E183" s="105"/>
      <c r="F183" s="105"/>
      <c r="G183" s="105"/>
      <c r="H183" s="105"/>
      <c r="I183" s="19"/>
      <c r="J183" s="19"/>
      <c r="K183" s="19"/>
      <c r="L183" s="19"/>
      <c r="M183" s="19"/>
      <c r="N183" s="19"/>
      <c r="O183" s="19"/>
    </row>
    <row r="184" spans="1:15">
      <c r="B184" s="19"/>
      <c r="D184" s="105"/>
      <c r="E184" s="105"/>
      <c r="F184" s="105"/>
      <c r="G184" s="105"/>
      <c r="H184" s="105"/>
      <c r="I184" s="19"/>
      <c r="J184" s="19"/>
      <c r="K184" s="19"/>
      <c r="L184" s="19"/>
      <c r="M184" s="19"/>
      <c r="N184" s="19"/>
      <c r="O184" s="19"/>
    </row>
    <row r="185" spans="1:15">
      <c r="B185" s="19"/>
      <c r="D185" s="105"/>
      <c r="E185" s="105"/>
      <c r="F185" s="105"/>
      <c r="G185" s="105"/>
      <c r="H185" s="105"/>
      <c r="I185" s="19"/>
      <c r="J185" s="19"/>
      <c r="K185" s="19"/>
      <c r="L185" s="19"/>
      <c r="M185" s="19"/>
      <c r="N185" s="19"/>
      <c r="O185" s="19"/>
    </row>
    <row r="186" spans="1:15">
      <c r="B186" s="19"/>
      <c r="D186" s="105"/>
      <c r="E186" s="105"/>
      <c r="F186" s="105"/>
      <c r="G186" s="105"/>
      <c r="H186" s="105"/>
      <c r="I186" s="19"/>
      <c r="J186" s="19"/>
      <c r="K186" s="19"/>
      <c r="L186" s="19"/>
      <c r="M186" s="19"/>
      <c r="N186" s="19"/>
      <c r="O186" s="19"/>
    </row>
    <row r="187" spans="1:15">
      <c r="B187" s="19"/>
      <c r="D187" s="105"/>
      <c r="E187" s="105"/>
      <c r="F187" s="105"/>
      <c r="G187" s="105"/>
      <c r="H187" s="105"/>
      <c r="I187" s="19"/>
      <c r="J187" s="19"/>
      <c r="K187" s="19"/>
      <c r="L187" s="19"/>
      <c r="M187" s="19"/>
      <c r="N187" s="19"/>
      <c r="O187" s="19"/>
    </row>
    <row r="188" spans="1:15">
      <c r="B188" s="19"/>
      <c r="D188" s="105"/>
      <c r="E188" s="105"/>
      <c r="F188" s="105"/>
      <c r="G188" s="105"/>
      <c r="H188" s="105"/>
      <c r="I188" s="19"/>
      <c r="J188" s="19"/>
      <c r="K188" s="19"/>
      <c r="L188" s="19"/>
      <c r="M188" s="19"/>
      <c r="N188" s="19"/>
      <c r="O188" s="19"/>
    </row>
    <row r="189" spans="1:15">
      <c r="B189" s="19"/>
      <c r="D189" s="105"/>
      <c r="E189" s="105"/>
      <c r="F189" s="105"/>
      <c r="G189" s="105"/>
      <c r="H189" s="105"/>
      <c r="I189" s="19"/>
      <c r="J189" s="19"/>
      <c r="K189" s="19"/>
      <c r="L189" s="19"/>
      <c r="M189" s="19"/>
      <c r="N189" s="19"/>
      <c r="O189" s="19"/>
    </row>
    <row r="190" spans="1:15">
      <c r="B190" s="19"/>
      <c r="D190" s="105"/>
      <c r="E190" s="105"/>
      <c r="F190" s="105"/>
      <c r="G190" s="105"/>
      <c r="H190" s="105"/>
      <c r="I190" s="19"/>
      <c r="J190" s="19"/>
      <c r="K190" s="19"/>
      <c r="L190" s="19"/>
      <c r="M190" s="19"/>
      <c r="N190" s="19"/>
      <c r="O190" s="19"/>
    </row>
    <row r="191" spans="1:15">
      <c r="B191" s="19"/>
      <c r="D191" s="105"/>
      <c r="E191" s="105"/>
      <c r="F191" s="105"/>
      <c r="G191" s="105"/>
      <c r="H191" s="105"/>
      <c r="I191" s="19"/>
      <c r="J191" s="19"/>
      <c r="K191" s="19"/>
      <c r="L191" s="19"/>
      <c r="M191" s="19"/>
      <c r="N191" s="19"/>
      <c r="O191" s="19"/>
    </row>
    <row r="192" spans="1:15">
      <c r="B192" s="19"/>
      <c r="D192" s="105"/>
      <c r="E192" s="105"/>
      <c r="F192" s="105"/>
      <c r="G192" s="105"/>
      <c r="H192" s="105"/>
      <c r="I192" s="19"/>
      <c r="J192" s="19"/>
      <c r="K192" s="19"/>
      <c r="L192" s="19"/>
      <c r="M192" s="19"/>
      <c r="N192" s="19"/>
      <c r="O192" s="19"/>
    </row>
    <row r="193" spans="1:15">
      <c r="B193" s="19"/>
      <c r="D193" s="105"/>
      <c r="E193" s="105"/>
      <c r="F193" s="105"/>
      <c r="G193" s="105"/>
      <c r="H193" s="105"/>
      <c r="I193" s="19"/>
      <c r="J193" s="19"/>
      <c r="K193" s="19"/>
      <c r="L193" s="19"/>
      <c r="M193" s="19"/>
      <c r="N193" s="19"/>
      <c r="O193" s="19"/>
    </row>
    <row r="194" spans="1:15">
      <c r="B194" s="19"/>
      <c r="C194" s="105"/>
      <c r="D194" s="105"/>
      <c r="E194" s="105"/>
      <c r="F194" s="105"/>
      <c r="G194" s="105"/>
      <c r="H194" s="105"/>
      <c r="I194" s="19"/>
      <c r="J194" s="19"/>
      <c r="K194" s="19"/>
      <c r="L194" s="19"/>
      <c r="M194" s="19"/>
      <c r="N194" s="19"/>
      <c r="O194" s="19"/>
    </row>
    <row r="195" spans="1:15">
      <c r="B195" s="19"/>
      <c r="C195" s="36"/>
      <c r="D195" s="100"/>
      <c r="E195" s="36"/>
      <c r="F195" s="36"/>
      <c r="G195" s="36"/>
      <c r="H195" s="36"/>
      <c r="I195" s="19"/>
      <c r="J195" s="19"/>
      <c r="K195" s="19"/>
      <c r="L195" s="19"/>
      <c r="M195" s="19"/>
      <c r="N195" s="19"/>
      <c r="O195" s="19"/>
    </row>
    <row r="196" spans="1:15">
      <c r="B196" s="106"/>
      <c r="C196" s="106"/>
      <c r="K196" s="19"/>
      <c r="M196" s="19"/>
      <c r="N196" s="19"/>
      <c r="O196" s="19"/>
    </row>
    <row r="197" spans="1:15">
      <c r="B197" s="106"/>
      <c r="C197" s="106"/>
      <c r="K197" s="19"/>
      <c r="M197" s="19"/>
      <c r="N197" s="19"/>
      <c r="O197" s="19"/>
    </row>
    <row r="198" spans="1:15">
      <c r="B198" s="111"/>
      <c r="M198" s="19"/>
      <c r="N198" s="19"/>
      <c r="O198" s="19"/>
    </row>
    <row r="199" spans="1:15">
      <c r="B199" s="106"/>
      <c r="M199" s="19"/>
      <c r="N199" s="19"/>
      <c r="O199" s="19"/>
    </row>
    <row r="200" spans="1:15">
      <c r="B200" s="106"/>
      <c r="L200" s="19"/>
      <c r="M200" s="19"/>
      <c r="N200" s="19"/>
      <c r="O200" s="19"/>
    </row>
    <row r="201" spans="1:15">
      <c r="A201" s="19"/>
      <c r="B201" s="19"/>
      <c r="C201" s="19"/>
      <c r="D201" s="19"/>
      <c r="E201" s="19"/>
      <c r="F201" s="19"/>
      <c r="G201" s="19"/>
      <c r="M201" s="19"/>
      <c r="N201" s="19"/>
      <c r="O201" s="19"/>
    </row>
    <row r="202" spans="1:15">
      <c r="A202" s="19"/>
      <c r="B202" s="19"/>
      <c r="C202" s="19"/>
      <c r="D202" s="19"/>
      <c r="E202" s="19"/>
      <c r="F202" s="19"/>
      <c r="G202" s="19"/>
      <c r="L202" s="19"/>
      <c r="M202" s="19"/>
      <c r="N202" s="19"/>
      <c r="O202" s="19"/>
    </row>
    <row r="203" spans="1:15">
      <c r="A203" s="19"/>
      <c r="B203" s="19"/>
      <c r="C203" s="19"/>
      <c r="D203" s="19"/>
      <c r="E203" s="19"/>
      <c r="F203" s="19"/>
      <c r="G203" s="19"/>
      <c r="K203" s="19"/>
      <c r="L203" s="19"/>
      <c r="M203" s="19"/>
      <c r="N203" s="19"/>
    </row>
    <row r="204" spans="1:15">
      <c r="A204" s="19"/>
      <c r="B204" s="19"/>
      <c r="C204" s="19"/>
      <c r="D204" s="19"/>
      <c r="E204" s="19"/>
      <c r="F204" s="19"/>
      <c r="G204" s="19"/>
      <c r="K204" s="19"/>
      <c r="L204" s="19"/>
      <c r="M204" s="19"/>
      <c r="N204" s="19"/>
    </row>
    <row r="205" spans="1:1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</row>
    <row r="206" spans="1:1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</row>
    <row r="207" spans="1:15"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</row>
    <row r="208" spans="1:15"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</row>
    <row r="211" spans="1:12" ht="15.75" customHeight="1">
      <c r="F211" s="19"/>
    </row>
    <row r="216" spans="1:12">
      <c r="B216" s="36"/>
      <c r="C216" s="36"/>
      <c r="D216" s="100"/>
      <c r="G216" s="19"/>
      <c r="J216" s="19"/>
    </row>
    <row r="217" spans="1:12">
      <c r="B217" s="36"/>
      <c r="C217" s="36"/>
      <c r="D217" s="100"/>
      <c r="G217" s="19"/>
      <c r="J217" s="19"/>
    </row>
    <row r="218" spans="1:12">
      <c r="B218" s="36"/>
      <c r="C218" s="36"/>
      <c r="D218" s="100"/>
      <c r="G218" s="19"/>
      <c r="H218" s="19"/>
      <c r="J218" s="19"/>
    </row>
    <row r="219" spans="1:12">
      <c r="G219" s="19"/>
      <c r="H219" s="101"/>
      <c r="I219" s="101"/>
      <c r="J219" s="101"/>
      <c r="K219" s="101"/>
      <c r="L219" s="101"/>
    </row>
    <row r="220" spans="1:12">
      <c r="G220" s="19"/>
      <c r="H220" s="19"/>
      <c r="I220" s="19"/>
      <c r="J220" s="19"/>
      <c r="K220" s="19"/>
      <c r="L220" s="19"/>
    </row>
    <row r="221" spans="1:12">
      <c r="G221" s="120"/>
      <c r="H221" s="120"/>
      <c r="I221" s="120"/>
      <c r="J221" s="120"/>
      <c r="K221" s="120"/>
      <c r="L221" s="120"/>
    </row>
    <row r="222" spans="1:12">
      <c r="B222" s="36"/>
      <c r="C222" s="36"/>
      <c r="D222" s="102"/>
      <c r="G222" s="120"/>
      <c r="H222" s="120"/>
      <c r="I222" s="120"/>
      <c r="J222" s="120"/>
      <c r="K222" s="120"/>
      <c r="L222" s="120"/>
    </row>
    <row r="223" spans="1:12" ht="15.6">
      <c r="A223" s="93"/>
      <c r="B223" s="93"/>
      <c r="C223" s="93"/>
      <c r="D223" s="95"/>
      <c r="G223" s="121"/>
      <c r="H223" s="121"/>
      <c r="I223" s="121"/>
      <c r="J223" s="121"/>
      <c r="K223" s="121"/>
      <c r="L223" s="121"/>
    </row>
    <row r="224" spans="1:12" ht="15.6">
      <c r="A224" s="93"/>
      <c r="B224" s="93"/>
      <c r="C224" s="93"/>
      <c r="D224" s="95"/>
      <c r="G224" s="121"/>
      <c r="H224" s="121"/>
      <c r="I224" s="121"/>
      <c r="J224" s="121"/>
      <c r="K224" s="121"/>
      <c r="L224" s="121"/>
    </row>
    <row r="225" spans="1:14" ht="15.6">
      <c r="A225" s="93"/>
      <c r="B225" s="93"/>
      <c r="C225" s="93"/>
      <c r="D225" s="95"/>
      <c r="G225" s="121"/>
      <c r="H225" s="121"/>
      <c r="I225" s="121"/>
      <c r="J225" s="121"/>
      <c r="K225" s="121"/>
      <c r="L225" s="121"/>
    </row>
    <row r="226" spans="1:14" ht="15.6">
      <c r="A226" s="93"/>
      <c r="B226" s="93"/>
      <c r="C226" s="93"/>
      <c r="D226" s="95"/>
      <c r="G226" s="121"/>
      <c r="H226" s="121"/>
      <c r="I226" s="121"/>
      <c r="J226" s="121"/>
      <c r="K226" s="121"/>
      <c r="L226" s="121"/>
    </row>
    <row r="227" spans="1:14" ht="15.6">
      <c r="G227" s="92"/>
      <c r="H227" s="92"/>
      <c r="I227" s="92"/>
      <c r="J227" s="92"/>
      <c r="K227" s="92"/>
      <c r="L227" s="92"/>
    </row>
    <row r="228" spans="1:14" ht="15.6">
      <c r="D228" s="92"/>
      <c r="G228" s="121"/>
      <c r="H228" s="121"/>
      <c r="I228" s="121"/>
      <c r="J228" s="121"/>
      <c r="K228" s="121"/>
      <c r="L228" s="121"/>
    </row>
    <row r="229" spans="1:14" ht="15.6">
      <c r="G229" s="121"/>
      <c r="H229" s="121"/>
      <c r="I229" s="121"/>
      <c r="J229" s="121"/>
      <c r="K229" s="121"/>
      <c r="L229" s="121"/>
    </row>
    <row r="230" spans="1:14" ht="15.6">
      <c r="G230" s="121"/>
      <c r="H230" s="121"/>
      <c r="I230" s="121"/>
      <c r="J230" s="121"/>
      <c r="K230" s="121"/>
      <c r="L230" s="121"/>
    </row>
    <row r="231" spans="1:14" ht="15.6">
      <c r="G231" s="121"/>
      <c r="H231" s="121"/>
      <c r="I231" s="121"/>
      <c r="J231" s="121"/>
      <c r="K231" s="121"/>
      <c r="L231" s="121"/>
    </row>
    <row r="232" spans="1:14" ht="15.6">
      <c r="G232" s="121"/>
      <c r="H232" s="121"/>
      <c r="I232" s="121"/>
      <c r="J232" s="121"/>
      <c r="K232" s="121"/>
      <c r="L232" s="121"/>
    </row>
    <row r="233" spans="1:14" ht="15.6">
      <c r="G233" s="121"/>
      <c r="H233" s="121"/>
      <c r="I233" s="121"/>
      <c r="J233" s="121"/>
      <c r="K233" s="121"/>
      <c r="L233" s="121"/>
    </row>
    <row r="234" spans="1:14" ht="15.6">
      <c r="G234" s="121"/>
      <c r="H234" s="121"/>
      <c r="I234" s="121"/>
      <c r="J234" s="121"/>
      <c r="K234" s="121"/>
      <c r="L234" s="121"/>
    </row>
    <row r="235" spans="1:14" ht="15.6">
      <c r="B235" s="92"/>
      <c r="C235" s="93"/>
      <c r="E235" s="93"/>
      <c r="G235" s="122"/>
      <c r="H235" s="123"/>
      <c r="I235" s="123"/>
      <c r="J235" s="123"/>
      <c r="K235" s="123"/>
      <c r="L235" s="123"/>
      <c r="M235" s="124"/>
      <c r="N235" s="124"/>
    </row>
    <row r="236" spans="1:14" ht="15.6">
      <c r="A236" s="70"/>
      <c r="B236" s="125"/>
      <c r="C236" s="125"/>
      <c r="G236" s="96"/>
      <c r="H236" s="96"/>
      <c r="I236" s="96"/>
      <c r="J236" s="96"/>
      <c r="K236" s="96"/>
      <c r="L236" s="96"/>
      <c r="M236" s="126"/>
      <c r="N236" s="124"/>
    </row>
    <row r="237" spans="1:14" ht="15.6">
      <c r="A237" s="70"/>
      <c r="B237" s="125"/>
      <c r="C237" s="125"/>
      <c r="G237" s="96"/>
      <c r="H237" s="96"/>
      <c r="I237" s="96"/>
      <c r="J237" s="96"/>
      <c r="K237" s="96"/>
      <c r="L237" s="96"/>
      <c r="M237" s="126"/>
      <c r="N237" s="124"/>
    </row>
    <row r="238" spans="1:14" ht="15.6">
      <c r="A238" s="70"/>
      <c r="B238" s="127"/>
      <c r="C238" s="125"/>
      <c r="G238" s="128"/>
      <c r="H238" s="128"/>
      <c r="I238" s="128"/>
      <c r="J238" s="128"/>
      <c r="K238" s="128"/>
      <c r="L238" s="128"/>
      <c r="M238" s="126"/>
      <c r="N238" s="124"/>
    </row>
    <row r="239" spans="1:14" ht="15.6">
      <c r="A239" s="70"/>
      <c r="B239" s="125"/>
      <c r="C239" s="129"/>
      <c r="G239" s="128"/>
      <c r="H239" s="128"/>
      <c r="I239" s="128"/>
      <c r="J239" s="128"/>
      <c r="K239" s="128"/>
      <c r="L239" s="128"/>
      <c r="M239" s="126"/>
      <c r="N239" s="124"/>
    </row>
    <row r="240" spans="1:14" ht="15.6">
      <c r="A240" s="70"/>
      <c r="B240" s="125"/>
      <c r="C240" s="129"/>
      <c r="G240" s="128"/>
      <c r="H240" s="128"/>
      <c r="I240" s="128"/>
      <c r="J240" s="128"/>
      <c r="K240" s="128"/>
      <c r="L240" s="128"/>
      <c r="M240" s="126"/>
      <c r="N240" s="124"/>
    </row>
    <row r="241" spans="7:14">
      <c r="G241" s="124"/>
      <c r="H241" s="124"/>
      <c r="I241" s="124"/>
      <c r="J241" s="124"/>
      <c r="K241" s="124"/>
      <c r="L241" s="124"/>
      <c r="M241" s="124"/>
      <c r="N241" s="124"/>
    </row>
    <row r="242" spans="7:14">
      <c r="G242" s="124"/>
      <c r="H242" s="124"/>
      <c r="I242" s="124"/>
      <c r="J242" s="124"/>
      <c r="K242" s="124"/>
      <c r="L242" s="124"/>
      <c r="M242" s="124"/>
      <c r="N242" s="124"/>
    </row>
    <row r="243" spans="7:14" ht="15.6">
      <c r="G243" s="94"/>
      <c r="J243" s="92"/>
    </row>
    <row r="244" spans="7:14" ht="15.6">
      <c r="G244" s="94"/>
      <c r="J244" s="92"/>
    </row>
    <row r="245" spans="7:14" ht="15.6">
      <c r="G245" s="92"/>
    </row>
    <row r="246" spans="7:14" ht="15.6">
      <c r="G246" s="92"/>
    </row>
    <row r="247" spans="7:14" ht="15.6">
      <c r="G247" s="92"/>
    </row>
    <row r="248" spans="7:14" ht="15.6">
      <c r="G248" s="92"/>
    </row>
    <row r="249" spans="7:14" ht="15.6">
      <c r="G249" s="92"/>
    </row>
    <row r="250" spans="7:14" ht="15.6">
      <c r="G250" s="92"/>
    </row>
    <row r="251" spans="7:14" ht="15.6">
      <c r="G251" s="92"/>
    </row>
    <row r="252" spans="7:14" ht="15.6">
      <c r="G252" s="92"/>
    </row>
    <row r="253" spans="7:14" ht="15.6">
      <c r="G253" s="92"/>
    </row>
    <row r="254" spans="7:14" ht="15.6">
      <c r="G254" s="92"/>
    </row>
    <row r="256" spans="7:14" ht="15.6">
      <c r="G256" s="92"/>
    </row>
    <row r="257" spans="7:7" ht="15.6">
      <c r="G257" s="92"/>
    </row>
    <row r="258" spans="7:7" ht="15.6">
      <c r="G258" s="92"/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V118"/>
  <sheetViews>
    <sheetView workbookViewId="0">
      <selection activeCell="M122" sqref="M122"/>
    </sheetView>
  </sheetViews>
  <sheetFormatPr defaultRowHeight="14.4"/>
  <cols>
    <col min="3" max="3" width="9.44140625" bestFit="1" customWidth="1"/>
  </cols>
  <sheetData>
    <row r="1" spans="1:10">
      <c r="A1" s="4" t="s">
        <v>823</v>
      </c>
    </row>
    <row r="2" spans="1:10">
      <c r="A2" s="4"/>
    </row>
    <row r="3" spans="1:10">
      <c r="A3" s="2" t="s">
        <v>769</v>
      </c>
    </row>
    <row r="4" spans="1:10">
      <c r="A4" s="2" t="s">
        <v>807</v>
      </c>
    </row>
    <row r="5" spans="1:10">
      <c r="A5" s="2" t="s">
        <v>764</v>
      </c>
    </row>
    <row r="6" spans="1:10">
      <c r="A6" s="2" t="s">
        <v>808</v>
      </c>
    </row>
    <row r="7" spans="1:10">
      <c r="A7" s="2"/>
    </row>
    <row r="8" spans="1:10">
      <c r="A8" s="4" t="s">
        <v>748</v>
      </c>
    </row>
    <row r="10" spans="1:10">
      <c r="A10" s="2" t="s">
        <v>731</v>
      </c>
    </row>
    <row r="11" spans="1:10">
      <c r="A11" s="1" t="s">
        <v>1</v>
      </c>
      <c r="B11">
        <v>0.1</v>
      </c>
      <c r="C11" s="36">
        <f>0.458</f>
        <v>0.45800000000000002</v>
      </c>
      <c r="D11" s="1">
        <f>C11+$B$11</f>
        <v>0.55800000000000005</v>
      </c>
      <c r="E11" s="1">
        <f t="shared" ref="E11:H11" si="0">D11+$B$11</f>
        <v>0.65800000000000003</v>
      </c>
      <c r="F11" s="1">
        <f t="shared" si="0"/>
        <v>0.75800000000000001</v>
      </c>
      <c r="G11" s="1">
        <f t="shared" si="0"/>
        <v>0.85799999999999998</v>
      </c>
      <c r="H11" s="1">
        <f t="shared" si="0"/>
        <v>0.95799999999999996</v>
      </c>
      <c r="I11" s="1"/>
      <c r="J11" s="60">
        <f>F11</f>
        <v>0.75800000000000001</v>
      </c>
    </row>
    <row r="12" spans="1:10">
      <c r="A12" s="1" t="s">
        <v>2</v>
      </c>
      <c r="C12" s="36">
        <v>0</v>
      </c>
      <c r="D12" s="1">
        <f>C12</f>
        <v>0</v>
      </c>
      <c r="E12" s="1">
        <f t="shared" ref="E12" si="1">D12</f>
        <v>0</v>
      </c>
      <c r="F12" s="1">
        <f t="shared" ref="F12" si="2">E12</f>
        <v>0</v>
      </c>
      <c r="G12" s="1">
        <f t="shared" ref="G12" si="3">F12</f>
        <v>0</v>
      </c>
      <c r="H12" s="1">
        <f t="shared" ref="H12" si="4">G12</f>
        <v>0</v>
      </c>
      <c r="I12" s="1"/>
      <c r="J12" s="60">
        <v>1.93</v>
      </c>
    </row>
    <row r="13" spans="1:10">
      <c r="A13" s="1" t="s">
        <v>42</v>
      </c>
      <c r="B13" s="1" t="s">
        <v>4</v>
      </c>
      <c r="C13" s="36"/>
      <c r="J13" s="2"/>
    </row>
    <row r="14" spans="1:10">
      <c r="A14" s="63"/>
      <c r="B14" s="63" t="s">
        <v>4</v>
      </c>
      <c r="C14" s="1">
        <v>1</v>
      </c>
      <c r="D14" s="1">
        <v>2</v>
      </c>
      <c r="E14" s="1">
        <v>3</v>
      </c>
      <c r="F14" s="5" t="s">
        <v>119</v>
      </c>
      <c r="G14" s="1">
        <v>5</v>
      </c>
      <c r="H14" s="1">
        <v>6</v>
      </c>
      <c r="I14" s="1">
        <v>7</v>
      </c>
      <c r="J14" s="60" t="s">
        <v>732</v>
      </c>
    </row>
    <row r="15" spans="1:10">
      <c r="A15" s="64">
        <v>0</v>
      </c>
      <c r="B15" s="64"/>
      <c r="C15" s="1"/>
      <c r="D15" s="1"/>
      <c r="E15" s="1"/>
      <c r="F15" s="5"/>
      <c r="G15" s="1"/>
      <c r="H15" s="1"/>
      <c r="I15" s="1"/>
      <c r="J15" s="1">
        <f t="shared" ref="J15:J25" si="5">J$11*$A15+J$12</f>
        <v>1.93</v>
      </c>
    </row>
    <row r="16" spans="1:10">
      <c r="A16" s="64">
        <v>1</v>
      </c>
      <c r="B16" s="64">
        <v>3</v>
      </c>
      <c r="C16" s="1">
        <f t="shared" ref="C16:H16" si="6">C$11*$A16+C$12-$B16</f>
        <v>-2.5419999999999998</v>
      </c>
      <c r="D16" s="1">
        <f t="shared" si="6"/>
        <v>-2.4420000000000002</v>
      </c>
      <c r="E16" s="1">
        <f t="shared" si="6"/>
        <v>-2.3420000000000001</v>
      </c>
      <c r="F16" s="1">
        <f t="shared" si="6"/>
        <v>-2.242</v>
      </c>
      <c r="G16" s="1">
        <f t="shared" si="6"/>
        <v>-2.1419999999999999</v>
      </c>
      <c r="H16" s="1">
        <f t="shared" si="6"/>
        <v>-2.0419999999999998</v>
      </c>
      <c r="I16" s="1"/>
      <c r="J16" s="1">
        <f t="shared" si="5"/>
        <v>2.6879999999999997</v>
      </c>
    </row>
    <row r="17" spans="1:15">
      <c r="A17" s="65">
        <v>2</v>
      </c>
      <c r="B17" s="65">
        <v>2</v>
      </c>
      <c r="C17" s="1">
        <f t="shared" ref="C17:C25" si="7">C$11*$A17+C$12-$B17</f>
        <v>-1.0840000000000001</v>
      </c>
      <c r="D17" s="1">
        <f t="shared" ref="D17:H25" si="8">D$11*$A17+D$12-$B17</f>
        <v>-0.8839999999999999</v>
      </c>
      <c r="E17" s="1">
        <f t="shared" si="8"/>
        <v>-0.68399999999999994</v>
      </c>
      <c r="F17" s="1">
        <f t="shared" si="8"/>
        <v>-0.48399999999999999</v>
      </c>
      <c r="G17" s="1">
        <f t="shared" si="8"/>
        <v>-0.28400000000000003</v>
      </c>
      <c r="H17" s="1">
        <f t="shared" si="8"/>
        <v>-8.4000000000000075E-2</v>
      </c>
      <c r="I17" s="1"/>
      <c r="J17" s="1">
        <f t="shared" si="5"/>
        <v>3.4459999999999997</v>
      </c>
    </row>
    <row r="18" spans="1:15">
      <c r="A18" s="65">
        <v>3</v>
      </c>
      <c r="B18" s="65">
        <v>5</v>
      </c>
      <c r="C18" s="1">
        <f t="shared" si="7"/>
        <v>-3.6259999999999999</v>
      </c>
      <c r="D18" s="1">
        <f t="shared" si="8"/>
        <v>-3.3259999999999996</v>
      </c>
      <c r="E18" s="1">
        <f t="shared" si="8"/>
        <v>-3.0259999999999998</v>
      </c>
      <c r="F18" s="1">
        <f t="shared" si="8"/>
        <v>-2.726</v>
      </c>
      <c r="G18" s="1">
        <f t="shared" si="8"/>
        <v>-2.4260000000000002</v>
      </c>
      <c r="H18" s="1">
        <f t="shared" si="8"/>
        <v>-2.1260000000000003</v>
      </c>
      <c r="I18" s="1"/>
      <c r="J18" s="1">
        <f t="shared" si="5"/>
        <v>4.2039999999999997</v>
      </c>
    </row>
    <row r="19" spans="1:15">
      <c r="A19" s="65">
        <v>4</v>
      </c>
      <c r="B19" s="65">
        <v>7</v>
      </c>
      <c r="C19" s="1">
        <f t="shared" si="7"/>
        <v>-5.1680000000000001</v>
      </c>
      <c r="D19" s="1">
        <f t="shared" si="8"/>
        <v>-4.7679999999999998</v>
      </c>
      <c r="E19" s="1">
        <f t="shared" si="8"/>
        <v>-4.3680000000000003</v>
      </c>
      <c r="F19" s="1">
        <f t="shared" si="8"/>
        <v>-3.968</v>
      </c>
      <c r="G19" s="1">
        <f t="shared" si="8"/>
        <v>-3.5680000000000001</v>
      </c>
      <c r="H19" s="1">
        <f t="shared" si="8"/>
        <v>-3.1680000000000001</v>
      </c>
      <c r="I19" s="1"/>
      <c r="J19" s="1">
        <f t="shared" si="5"/>
        <v>4.9619999999999997</v>
      </c>
    </row>
    <row r="20" spans="1:15">
      <c r="A20" s="65">
        <v>5</v>
      </c>
      <c r="B20" s="65">
        <v>4</v>
      </c>
      <c r="C20" s="1">
        <f t="shared" si="7"/>
        <v>-1.71</v>
      </c>
      <c r="D20" s="1">
        <f t="shared" si="8"/>
        <v>-1.21</v>
      </c>
      <c r="E20" s="1">
        <f t="shared" si="8"/>
        <v>-0.71</v>
      </c>
      <c r="F20" s="1">
        <f t="shared" si="8"/>
        <v>-0.20999999999999996</v>
      </c>
      <c r="G20" s="1">
        <f t="shared" si="8"/>
        <v>0.29000000000000004</v>
      </c>
      <c r="H20" s="1">
        <f t="shared" si="8"/>
        <v>0.79</v>
      </c>
      <c r="I20" s="1"/>
      <c r="J20" s="1">
        <f t="shared" si="5"/>
        <v>5.72</v>
      </c>
    </row>
    <row r="21" spans="1:15">
      <c r="A21" s="65">
        <v>6</v>
      </c>
      <c r="B21" s="65">
        <v>8</v>
      </c>
      <c r="C21" s="1">
        <f t="shared" si="7"/>
        <v>-5.2519999999999998</v>
      </c>
      <c r="D21" s="1">
        <f t="shared" si="8"/>
        <v>-4.6519999999999992</v>
      </c>
      <c r="E21" s="1">
        <f t="shared" si="8"/>
        <v>-4.0519999999999996</v>
      </c>
      <c r="F21" s="1">
        <f t="shared" si="8"/>
        <v>-3.452</v>
      </c>
      <c r="G21" s="1">
        <f t="shared" si="8"/>
        <v>-2.8520000000000003</v>
      </c>
      <c r="H21" s="1">
        <f t="shared" si="8"/>
        <v>-2.2520000000000007</v>
      </c>
      <c r="I21" s="1"/>
      <c r="J21" s="1">
        <f t="shared" si="5"/>
        <v>6.4779999999999998</v>
      </c>
    </row>
    <row r="22" spans="1:15">
      <c r="A22" s="65">
        <v>7</v>
      </c>
      <c r="B22" s="65">
        <v>5</v>
      </c>
      <c r="C22" s="1">
        <f t="shared" si="7"/>
        <v>-1.794</v>
      </c>
      <c r="D22" s="1">
        <f t="shared" si="8"/>
        <v>-1.0939999999999994</v>
      </c>
      <c r="E22" s="1">
        <f t="shared" si="8"/>
        <v>-0.39400000000000013</v>
      </c>
      <c r="F22" s="1">
        <f t="shared" si="8"/>
        <v>0.30600000000000005</v>
      </c>
      <c r="G22" s="1">
        <f t="shared" si="8"/>
        <v>1.0060000000000002</v>
      </c>
      <c r="H22" s="1">
        <f t="shared" si="8"/>
        <v>1.7059999999999995</v>
      </c>
      <c r="I22" s="1"/>
      <c r="J22" s="1">
        <f t="shared" si="5"/>
        <v>7.2359999999999998</v>
      </c>
    </row>
    <row r="23" spans="1:15">
      <c r="A23" s="65">
        <v>8</v>
      </c>
      <c r="B23" s="65">
        <v>7</v>
      </c>
      <c r="C23" s="1">
        <f t="shared" si="7"/>
        <v>-3.3359999999999999</v>
      </c>
      <c r="D23" s="1">
        <f t="shared" si="8"/>
        <v>-2.5359999999999996</v>
      </c>
      <c r="E23" s="1">
        <f t="shared" si="8"/>
        <v>-1.7359999999999998</v>
      </c>
      <c r="F23" s="1">
        <f t="shared" si="8"/>
        <v>-0.93599999999999994</v>
      </c>
      <c r="G23" s="1">
        <f t="shared" si="8"/>
        <v>-0.13600000000000012</v>
      </c>
      <c r="H23" s="1">
        <f t="shared" si="8"/>
        <v>0.6639999999999997</v>
      </c>
      <c r="I23" s="1"/>
      <c r="J23" s="1">
        <f t="shared" si="5"/>
        <v>7.9939999999999998</v>
      </c>
    </row>
    <row r="24" spans="1:15">
      <c r="A24" s="65">
        <v>9</v>
      </c>
      <c r="B24" s="65">
        <v>11</v>
      </c>
      <c r="C24" s="1">
        <f t="shared" si="7"/>
        <v>-6.8780000000000001</v>
      </c>
      <c r="D24" s="1">
        <f t="shared" si="8"/>
        <v>-5.9779999999999998</v>
      </c>
      <c r="E24" s="1">
        <f t="shared" si="8"/>
        <v>-5.0779999999999994</v>
      </c>
      <c r="F24" s="1">
        <f t="shared" si="8"/>
        <v>-4.1779999999999999</v>
      </c>
      <c r="G24" s="1">
        <f t="shared" si="8"/>
        <v>-3.2780000000000005</v>
      </c>
      <c r="H24" s="1">
        <f t="shared" si="8"/>
        <v>-2.3780000000000001</v>
      </c>
      <c r="I24" s="1"/>
      <c r="J24" s="1">
        <f t="shared" si="5"/>
        <v>8.7520000000000007</v>
      </c>
    </row>
    <row r="25" spans="1:15">
      <c r="A25" s="66">
        <v>10</v>
      </c>
      <c r="B25" s="66">
        <v>9</v>
      </c>
      <c r="C25" s="1">
        <f t="shared" si="7"/>
        <v>-4.42</v>
      </c>
      <c r="D25" s="1">
        <f t="shared" si="8"/>
        <v>-3.42</v>
      </c>
      <c r="E25" s="1">
        <f t="shared" si="8"/>
        <v>-2.42</v>
      </c>
      <c r="F25" s="1">
        <f t="shared" si="8"/>
        <v>-1.42</v>
      </c>
      <c r="G25" s="1">
        <f t="shared" si="8"/>
        <v>-0.41999999999999993</v>
      </c>
      <c r="H25" s="1">
        <f t="shared" si="8"/>
        <v>0.58000000000000007</v>
      </c>
      <c r="I25" s="1"/>
      <c r="J25" s="1">
        <f t="shared" si="5"/>
        <v>9.51</v>
      </c>
    </row>
    <row r="26" spans="1:15">
      <c r="A26" t="s">
        <v>733</v>
      </c>
      <c r="C26" s="1">
        <f>AVERAGE(C16:C25)</f>
        <v>-3.5809999999999995</v>
      </c>
      <c r="D26" s="1">
        <f t="shared" ref="D26:H26" si="9">AVERAGE(D16:D25)</f>
        <v>-3.0310000000000001</v>
      </c>
      <c r="E26" s="1">
        <f t="shared" si="9"/>
        <v>-2.4809999999999994</v>
      </c>
      <c r="F26" s="1">
        <f t="shared" si="9"/>
        <v>-1.9310000000000003</v>
      </c>
      <c r="G26" s="1">
        <f t="shared" si="9"/>
        <v>-1.3809999999999998</v>
      </c>
      <c r="H26" s="1">
        <f t="shared" si="9"/>
        <v>-0.83100000000000018</v>
      </c>
      <c r="I26" s="1"/>
      <c r="J26" s="1">
        <f>AVERAGE(J16:J25)</f>
        <v>6.0989999999999993</v>
      </c>
      <c r="K26" s="1"/>
      <c r="L26" s="1"/>
      <c r="M26" s="1"/>
      <c r="N26" s="1"/>
      <c r="O26" s="1"/>
    </row>
    <row r="27" spans="1:15">
      <c r="A27" t="s">
        <v>491</v>
      </c>
      <c r="C27">
        <f>STDEVP(C16:C25)</f>
        <v>1.7594183698029313</v>
      </c>
      <c r="D27">
        <f t="shared" ref="D27:J27" si="10">STDEVP(D16:D25)</f>
        <v>1.6382164081707884</v>
      </c>
      <c r="E27">
        <f t="shared" si="10"/>
        <v>1.5610743095701758</v>
      </c>
      <c r="F27">
        <f>STDEVP(F16:F25)</f>
        <v>1.5346507746063915</v>
      </c>
      <c r="G27">
        <f t="shared" si="10"/>
        <v>1.5615226543345444</v>
      </c>
      <c r="H27">
        <f t="shared" si="10"/>
        <v>1.6390707733346963</v>
      </c>
      <c r="J27">
        <f t="shared" si="10"/>
        <v>2.1771892430379141</v>
      </c>
    </row>
    <row r="28" spans="1:15">
      <c r="A28" t="s">
        <v>741</v>
      </c>
      <c r="C28">
        <f>MIN(C27:H27)</f>
        <v>1.5346507746063915</v>
      </c>
    </row>
    <row r="29" spans="1:15">
      <c r="F29" t="s">
        <v>742</v>
      </c>
      <c r="L29" s="14" t="s">
        <v>744</v>
      </c>
    </row>
    <row r="30" spans="1:15">
      <c r="F30" t="s">
        <v>743</v>
      </c>
    </row>
    <row r="33" spans="1:22">
      <c r="A33" s="4" t="s">
        <v>749</v>
      </c>
    </row>
    <row r="35" spans="1:22">
      <c r="A35" s="54" t="s">
        <v>728</v>
      </c>
      <c r="C35" s="5" t="str">
        <f t="shared" ref="C35:H35" si="11">IF(C48=MIN($C$48:$V$48),"BESTE?","")</f>
        <v/>
      </c>
      <c r="D35" s="5" t="str">
        <f t="shared" si="11"/>
        <v/>
      </c>
      <c r="E35" s="5" t="str">
        <f t="shared" si="11"/>
        <v/>
      </c>
      <c r="F35" s="5" t="str">
        <f t="shared" si="11"/>
        <v/>
      </c>
      <c r="G35" s="5" t="str">
        <f t="shared" si="11"/>
        <v/>
      </c>
      <c r="H35" s="5" t="str">
        <f t="shared" si="11"/>
        <v/>
      </c>
      <c r="I35" s="5" t="str">
        <f t="shared" ref="I35:M35" si="12">IF(I48=MIN($C$48:$V$48),"BESTE?","")</f>
        <v/>
      </c>
      <c r="J35" s="5" t="str">
        <f t="shared" si="12"/>
        <v/>
      </c>
      <c r="K35" s="5" t="str">
        <f t="shared" si="12"/>
        <v/>
      </c>
      <c r="L35" s="5" t="str">
        <f t="shared" si="12"/>
        <v/>
      </c>
      <c r="M35" s="5" t="str">
        <f t="shared" si="12"/>
        <v/>
      </c>
      <c r="N35" s="5" t="str">
        <f t="shared" ref="N35:V35" si="13">IF(N48=MIN($C$48:$V$48),"BESTE?","")</f>
        <v/>
      </c>
      <c r="O35" s="5" t="str">
        <f t="shared" si="13"/>
        <v/>
      </c>
      <c r="P35" s="5" t="str">
        <f t="shared" si="13"/>
        <v/>
      </c>
      <c r="Q35" s="5" t="str">
        <f t="shared" si="13"/>
        <v/>
      </c>
      <c r="R35" s="5" t="str">
        <f t="shared" si="13"/>
        <v/>
      </c>
      <c r="S35" s="5" t="str">
        <f t="shared" si="13"/>
        <v>BESTE?</v>
      </c>
      <c r="T35" s="5" t="str">
        <f t="shared" si="13"/>
        <v/>
      </c>
      <c r="U35" s="5" t="str">
        <f t="shared" si="13"/>
        <v/>
      </c>
      <c r="V35" s="5" t="str">
        <f t="shared" si="13"/>
        <v/>
      </c>
    </row>
    <row r="36" spans="1:22">
      <c r="A36" s="1" t="s">
        <v>1</v>
      </c>
      <c r="B36" s="14">
        <v>0.01</v>
      </c>
      <c r="C36" s="60">
        <v>0.31361</v>
      </c>
      <c r="D36">
        <f>C36+$B$36</f>
        <v>0.32361000000000001</v>
      </c>
      <c r="E36">
        <f t="shared" ref="E36:H36" si="14">D36+$B$36</f>
        <v>0.33361000000000002</v>
      </c>
      <c r="F36">
        <f t="shared" si="14"/>
        <v>0.34361000000000003</v>
      </c>
      <c r="G36">
        <f t="shared" si="14"/>
        <v>0.35361000000000004</v>
      </c>
      <c r="H36">
        <f t="shared" si="14"/>
        <v>0.36361000000000004</v>
      </c>
      <c r="J36" s="21">
        <f>C36</f>
        <v>0.31361</v>
      </c>
      <c r="K36">
        <f>J36</f>
        <v>0.31361</v>
      </c>
      <c r="L36">
        <f t="shared" ref="L36:O36" si="15">K36</f>
        <v>0.31361</v>
      </c>
      <c r="M36">
        <f t="shared" si="15"/>
        <v>0.31361</v>
      </c>
      <c r="N36">
        <f>M36</f>
        <v>0.31361</v>
      </c>
      <c r="O36">
        <f t="shared" si="15"/>
        <v>0.31361</v>
      </c>
      <c r="Q36" s="21">
        <f>C36</f>
        <v>0.31361</v>
      </c>
      <c r="R36">
        <f>Q36</f>
        <v>0.31361</v>
      </c>
      <c r="S36">
        <f t="shared" ref="S36:V36" si="16">R36</f>
        <v>0.31361</v>
      </c>
      <c r="T36">
        <f t="shared" si="16"/>
        <v>0.31361</v>
      </c>
      <c r="U36">
        <f t="shared" si="16"/>
        <v>0.31361</v>
      </c>
      <c r="V36">
        <f t="shared" si="16"/>
        <v>0.31361</v>
      </c>
    </row>
    <row r="37" spans="1:22">
      <c r="A37" s="1" t="s">
        <v>2</v>
      </c>
      <c r="B37" s="14">
        <v>0.01</v>
      </c>
      <c r="C37" s="60">
        <v>0.56999999999999995</v>
      </c>
      <c r="D37">
        <f>C37</f>
        <v>0.56999999999999995</v>
      </c>
      <c r="E37">
        <f t="shared" ref="E37:H37" si="17">D37</f>
        <v>0.56999999999999995</v>
      </c>
      <c r="F37">
        <f t="shared" si="17"/>
        <v>0.56999999999999995</v>
      </c>
      <c r="G37">
        <f t="shared" si="17"/>
        <v>0.56999999999999995</v>
      </c>
      <c r="H37">
        <f t="shared" si="17"/>
        <v>0.56999999999999995</v>
      </c>
      <c r="J37" s="21">
        <f>C37</f>
        <v>0.56999999999999995</v>
      </c>
      <c r="K37">
        <f>J37+$B$37</f>
        <v>0.57999999999999996</v>
      </c>
      <c r="L37">
        <f>K37+$B$37</f>
        <v>0.59</v>
      </c>
      <c r="M37">
        <f>L37+$B$37</f>
        <v>0.6</v>
      </c>
      <c r="N37">
        <f>M37+$B$37</f>
        <v>0.61</v>
      </c>
      <c r="O37">
        <f>N37+$B$37</f>
        <v>0.62</v>
      </c>
      <c r="Q37" s="21">
        <f>C37</f>
        <v>0.56999999999999995</v>
      </c>
      <c r="R37">
        <f t="shared" ref="R37:V37" si="18">Q37</f>
        <v>0.56999999999999995</v>
      </c>
      <c r="S37">
        <f t="shared" si="18"/>
        <v>0.56999999999999995</v>
      </c>
      <c r="T37">
        <f t="shared" si="18"/>
        <v>0.56999999999999995</v>
      </c>
      <c r="U37">
        <f t="shared" si="18"/>
        <v>0.56999999999999995</v>
      </c>
      <c r="V37">
        <f t="shared" si="18"/>
        <v>0.56999999999999995</v>
      </c>
    </row>
    <row r="38" spans="1:22">
      <c r="A38" s="1" t="s">
        <v>325</v>
      </c>
      <c r="B38" s="14">
        <v>0.01</v>
      </c>
      <c r="C38" s="60">
        <v>2</v>
      </c>
      <c r="D38">
        <f>C38</f>
        <v>2</v>
      </c>
      <c r="E38">
        <f t="shared" ref="E38:H38" si="19">D38</f>
        <v>2</v>
      </c>
      <c r="F38">
        <f t="shared" si="19"/>
        <v>2</v>
      </c>
      <c r="G38">
        <f t="shared" si="19"/>
        <v>2</v>
      </c>
      <c r="H38">
        <f t="shared" si="19"/>
        <v>2</v>
      </c>
      <c r="J38" s="21">
        <f>C38</f>
        <v>2</v>
      </c>
      <c r="K38">
        <f t="shared" ref="K38:M38" si="20">J38</f>
        <v>2</v>
      </c>
      <c r="L38">
        <f t="shared" si="20"/>
        <v>2</v>
      </c>
      <c r="M38">
        <f t="shared" si="20"/>
        <v>2</v>
      </c>
      <c r="N38">
        <f>M38</f>
        <v>2</v>
      </c>
      <c r="O38">
        <f t="shared" ref="O38" si="21">N38</f>
        <v>2</v>
      </c>
      <c r="Q38" s="21">
        <f>C38</f>
        <v>2</v>
      </c>
      <c r="R38">
        <f>Q38+$B$38</f>
        <v>2.0099999999999998</v>
      </c>
      <c r="S38">
        <f>R38+$B$38</f>
        <v>2.0199999999999996</v>
      </c>
      <c r="T38">
        <f>S38+$B$38</f>
        <v>2.0299999999999994</v>
      </c>
      <c r="U38">
        <f>T38+$B$38</f>
        <v>2.0399999999999991</v>
      </c>
      <c r="V38">
        <f>U38+$B$38</f>
        <v>2.0499999999999989</v>
      </c>
    </row>
    <row r="39" spans="1:22">
      <c r="A39" s="36" t="s">
        <v>42</v>
      </c>
      <c r="B39" s="36" t="s">
        <v>4</v>
      </c>
      <c r="C39" s="1" t="s">
        <v>752</v>
      </c>
      <c r="D39" s="1"/>
      <c r="J39" s="1"/>
      <c r="Q39" s="1"/>
    </row>
    <row r="40" spans="1:22">
      <c r="A40" s="36">
        <v>0</v>
      </c>
      <c r="B40" s="36">
        <v>1</v>
      </c>
      <c r="C40" s="1">
        <f>C$36+C$37*$A40^C$38-$B40</f>
        <v>-0.68639000000000006</v>
      </c>
      <c r="D40" s="1">
        <f t="shared" ref="D40:S45" si="22">D$36+D$37*$A40^D$38-$B40</f>
        <v>-0.67639000000000005</v>
      </c>
      <c r="E40" s="1">
        <f t="shared" si="22"/>
        <v>-0.66639000000000004</v>
      </c>
      <c r="F40" s="1">
        <f t="shared" si="22"/>
        <v>-0.65639000000000003</v>
      </c>
      <c r="G40" s="1">
        <f t="shared" si="22"/>
        <v>-0.64639000000000002</v>
      </c>
      <c r="H40" s="1">
        <f t="shared" si="22"/>
        <v>-0.63639000000000001</v>
      </c>
      <c r="J40" s="1">
        <f t="shared" si="22"/>
        <v>-0.68639000000000006</v>
      </c>
      <c r="K40" s="1">
        <f t="shared" si="22"/>
        <v>-0.68639000000000006</v>
      </c>
      <c r="L40" s="1">
        <f t="shared" si="22"/>
        <v>-0.68639000000000006</v>
      </c>
      <c r="M40" s="1">
        <f t="shared" si="22"/>
        <v>-0.68639000000000006</v>
      </c>
      <c r="N40" s="1">
        <f t="shared" si="22"/>
        <v>-0.68639000000000006</v>
      </c>
      <c r="O40" s="1">
        <f t="shared" si="22"/>
        <v>-0.68639000000000006</v>
      </c>
      <c r="Q40" s="1">
        <f t="shared" si="22"/>
        <v>-0.68639000000000006</v>
      </c>
      <c r="R40" s="1">
        <f t="shared" si="22"/>
        <v>-0.68639000000000006</v>
      </c>
      <c r="S40" s="1">
        <f t="shared" si="22"/>
        <v>-0.68639000000000006</v>
      </c>
      <c r="T40" s="1">
        <f t="shared" ref="Q40:V45" si="23">T$36+T$37*$A40^T$38-$B40</f>
        <v>-0.68639000000000006</v>
      </c>
      <c r="U40" s="1">
        <f t="shared" si="23"/>
        <v>-0.68639000000000006</v>
      </c>
      <c r="V40" s="1">
        <f t="shared" si="23"/>
        <v>-0.68639000000000006</v>
      </c>
    </row>
    <row r="41" spans="1:22">
      <c r="A41" s="36">
        <v>1</v>
      </c>
      <c r="B41" s="36">
        <v>0.5</v>
      </c>
      <c r="C41" s="1">
        <f t="shared" ref="C41:C45" si="24">C$36+C$37*$A41^C$38-$B41</f>
        <v>0.38361000000000001</v>
      </c>
      <c r="D41" s="1">
        <f t="shared" si="22"/>
        <v>0.39361000000000002</v>
      </c>
      <c r="E41" s="1">
        <f t="shared" si="22"/>
        <v>0.40361000000000002</v>
      </c>
      <c r="F41" s="1">
        <f t="shared" si="22"/>
        <v>0.41361000000000003</v>
      </c>
      <c r="G41" s="1">
        <f t="shared" si="22"/>
        <v>0.42361000000000004</v>
      </c>
      <c r="H41" s="1">
        <f t="shared" si="22"/>
        <v>0.43361000000000005</v>
      </c>
      <c r="J41" s="1">
        <f t="shared" si="22"/>
        <v>0.38361000000000001</v>
      </c>
      <c r="K41" s="1">
        <f t="shared" si="22"/>
        <v>0.39361000000000002</v>
      </c>
      <c r="L41" s="1">
        <f t="shared" si="22"/>
        <v>0.40361000000000002</v>
      </c>
      <c r="M41" s="1">
        <f t="shared" si="22"/>
        <v>0.41361000000000003</v>
      </c>
      <c r="N41" s="1">
        <f t="shared" si="22"/>
        <v>0.42361000000000004</v>
      </c>
      <c r="O41" s="1">
        <f t="shared" si="22"/>
        <v>0.43361000000000005</v>
      </c>
      <c r="Q41" s="1">
        <f t="shared" si="23"/>
        <v>0.38361000000000001</v>
      </c>
      <c r="R41" s="1">
        <f t="shared" si="23"/>
        <v>0.38361000000000001</v>
      </c>
      <c r="S41" s="1">
        <f t="shared" si="23"/>
        <v>0.38361000000000001</v>
      </c>
      <c r="T41" s="1">
        <f t="shared" si="23"/>
        <v>0.38361000000000001</v>
      </c>
      <c r="U41" s="1">
        <f t="shared" si="23"/>
        <v>0.38361000000000001</v>
      </c>
      <c r="V41" s="1">
        <f t="shared" si="23"/>
        <v>0.38361000000000001</v>
      </c>
    </row>
    <row r="42" spans="1:22">
      <c r="A42" s="36">
        <v>2</v>
      </c>
      <c r="B42" s="36">
        <v>2.5</v>
      </c>
      <c r="C42" s="1">
        <f t="shared" si="24"/>
        <v>9.3609999999999971E-2</v>
      </c>
      <c r="D42" s="1">
        <f t="shared" si="22"/>
        <v>0.10360999999999976</v>
      </c>
      <c r="E42" s="1">
        <f t="shared" si="22"/>
        <v>0.11360999999999999</v>
      </c>
      <c r="F42" s="1">
        <f t="shared" si="22"/>
        <v>0.12360999999999978</v>
      </c>
      <c r="G42" s="1">
        <f t="shared" si="22"/>
        <v>0.13361000000000001</v>
      </c>
      <c r="H42" s="1">
        <f t="shared" si="22"/>
        <v>0.14360999999999979</v>
      </c>
      <c r="J42" s="1">
        <f t="shared" si="22"/>
        <v>9.3609999999999971E-2</v>
      </c>
      <c r="K42" s="1">
        <f t="shared" si="22"/>
        <v>0.13361000000000001</v>
      </c>
      <c r="L42" s="1">
        <f t="shared" si="22"/>
        <v>0.17361000000000004</v>
      </c>
      <c r="M42" s="1">
        <f t="shared" si="22"/>
        <v>0.21361000000000008</v>
      </c>
      <c r="N42" s="1">
        <f t="shared" si="22"/>
        <v>0.25361000000000011</v>
      </c>
      <c r="O42" s="1">
        <f t="shared" si="22"/>
        <v>0.29361000000000015</v>
      </c>
      <c r="Q42" s="1">
        <f t="shared" si="23"/>
        <v>9.3609999999999971E-2</v>
      </c>
      <c r="R42" s="1">
        <f t="shared" si="23"/>
        <v>0.10946865412931839</v>
      </c>
      <c r="S42" s="1">
        <f t="shared" si="23"/>
        <v>0.12543761392126518</v>
      </c>
      <c r="T42" s="1">
        <f t="shared" si="23"/>
        <v>0.14151764661239907</v>
      </c>
      <c r="U42" s="1">
        <f t="shared" si="23"/>
        <v>0.15770952477583</v>
      </c>
      <c r="V42" s="1">
        <f t="shared" si="23"/>
        <v>0.17401402635833874</v>
      </c>
    </row>
    <row r="43" spans="1:22">
      <c r="A43" s="36">
        <v>3</v>
      </c>
      <c r="B43" s="36">
        <v>5.5</v>
      </c>
      <c r="C43" s="1">
        <f t="shared" si="24"/>
        <v>-5.6390000000000384E-2</v>
      </c>
      <c r="D43" s="1">
        <f t="shared" si="22"/>
        <v>-4.6389999999999709E-2</v>
      </c>
      <c r="E43" s="1">
        <f t="shared" si="22"/>
        <v>-3.6389999999999922E-2</v>
      </c>
      <c r="F43" s="1">
        <f t="shared" si="22"/>
        <v>-2.6390000000000136E-2</v>
      </c>
      <c r="G43" s="1">
        <f t="shared" si="22"/>
        <v>-1.6390000000000349E-2</v>
      </c>
      <c r="H43" s="1">
        <f t="shared" si="22"/>
        <v>-6.3899999999996737E-3</v>
      </c>
      <c r="J43" s="1">
        <f t="shared" si="22"/>
        <v>-5.6390000000000384E-2</v>
      </c>
      <c r="K43" s="1">
        <f t="shared" si="22"/>
        <v>3.3609999999999474E-2</v>
      </c>
      <c r="L43" s="1">
        <f t="shared" si="22"/>
        <v>0.12360999999999933</v>
      </c>
      <c r="M43" s="1">
        <f t="shared" si="22"/>
        <v>0.21360999999999919</v>
      </c>
      <c r="N43" s="1">
        <f t="shared" si="22"/>
        <v>0.30360999999999994</v>
      </c>
      <c r="O43" s="1">
        <f t="shared" si="22"/>
        <v>0.39360999999999979</v>
      </c>
      <c r="Q43" s="1">
        <f t="shared" si="23"/>
        <v>-5.6390000000000384E-2</v>
      </c>
      <c r="R43" s="1">
        <f t="shared" si="23"/>
        <v>2.7952964118771462E-4</v>
      </c>
      <c r="S43" s="1">
        <f t="shared" si="23"/>
        <v>5.757507011858376E-2</v>
      </c>
      <c r="T43" s="1">
        <f t="shared" si="23"/>
        <v>0.11550353678105019</v>
      </c>
      <c r="U43" s="1">
        <f t="shared" si="23"/>
        <v>0.17407192136916461</v>
      </c>
      <c r="V43" s="1">
        <f t="shared" si="23"/>
        <v>0.23328729285912253</v>
      </c>
    </row>
    <row r="44" spans="1:22">
      <c r="A44" s="36">
        <v>4</v>
      </c>
      <c r="B44" s="36">
        <v>9.4</v>
      </c>
      <c r="C44" s="1">
        <f t="shared" si="24"/>
        <v>3.3609999999999474E-2</v>
      </c>
      <c r="D44" s="1">
        <f t="shared" si="22"/>
        <v>4.360999999999926E-2</v>
      </c>
      <c r="E44" s="1">
        <f t="shared" si="22"/>
        <v>5.3609999999999047E-2</v>
      </c>
      <c r="F44" s="1">
        <f t="shared" si="22"/>
        <v>6.3609999999998834E-2</v>
      </c>
      <c r="G44" s="1">
        <f t="shared" si="22"/>
        <v>7.3609999999998621E-2</v>
      </c>
      <c r="H44" s="1">
        <f t="shared" si="22"/>
        <v>8.3609999999998408E-2</v>
      </c>
      <c r="J44" s="1">
        <f t="shared" si="22"/>
        <v>3.3609999999999474E-2</v>
      </c>
      <c r="K44" s="1">
        <f t="shared" si="22"/>
        <v>0.19360999999999962</v>
      </c>
      <c r="L44" s="1">
        <f t="shared" si="22"/>
        <v>0.35360999999999976</v>
      </c>
      <c r="M44" s="1">
        <f t="shared" si="22"/>
        <v>0.5136099999999999</v>
      </c>
      <c r="N44" s="1">
        <f t="shared" si="22"/>
        <v>0.67361000000000004</v>
      </c>
      <c r="O44" s="1">
        <f t="shared" si="22"/>
        <v>0.83361000000000018</v>
      </c>
      <c r="Q44" s="1">
        <f t="shared" si="23"/>
        <v>3.3609999999999474E-2</v>
      </c>
      <c r="R44" s="1">
        <f t="shared" si="23"/>
        <v>0.1609204556850603</v>
      </c>
      <c r="S44" s="1">
        <f t="shared" si="23"/>
        <v>0.29000809910331782</v>
      </c>
      <c r="T44" s="1">
        <f t="shared" si="23"/>
        <v>0.42089773887101423</v>
      </c>
      <c r="U44" s="1">
        <f t="shared" si="23"/>
        <v>0.553614529919777</v>
      </c>
      <c r="V44" s="1">
        <f t="shared" si="23"/>
        <v>0.68818397833097933</v>
      </c>
    </row>
    <row r="45" spans="1:22">
      <c r="A45" s="36">
        <v>5</v>
      </c>
      <c r="B45" s="36">
        <v>15.2</v>
      </c>
      <c r="C45" s="1">
        <f t="shared" si="24"/>
        <v>-0.63639000000000046</v>
      </c>
      <c r="D45" s="1">
        <f t="shared" si="22"/>
        <v>-0.62639000000000067</v>
      </c>
      <c r="E45" s="1">
        <f t="shared" si="22"/>
        <v>-0.61639000000000088</v>
      </c>
      <c r="F45" s="1">
        <f t="shared" si="22"/>
        <v>-0.60639000000000109</v>
      </c>
      <c r="G45" s="1">
        <f t="shared" si="22"/>
        <v>-0.59639000000000131</v>
      </c>
      <c r="H45" s="1">
        <f t="shared" si="22"/>
        <v>-0.58639000000000152</v>
      </c>
      <c r="J45" s="1">
        <f t="shared" si="22"/>
        <v>-0.63639000000000046</v>
      </c>
      <c r="K45" s="1">
        <f t="shared" si="22"/>
        <v>-0.38639000000000046</v>
      </c>
      <c r="L45" s="1">
        <f t="shared" si="22"/>
        <v>-0.13638999999999868</v>
      </c>
      <c r="M45" s="1">
        <f t="shared" si="22"/>
        <v>0.11361000000000132</v>
      </c>
      <c r="N45" s="1">
        <f t="shared" si="22"/>
        <v>0.36361000000000132</v>
      </c>
      <c r="O45" s="1">
        <f t="shared" si="22"/>
        <v>0.61361000000000132</v>
      </c>
      <c r="Q45" s="1">
        <f t="shared" si="23"/>
        <v>-0.63639000000000046</v>
      </c>
      <c r="R45" s="1">
        <f t="shared" si="23"/>
        <v>-0.40518957444061776</v>
      </c>
      <c r="S45" s="1">
        <f t="shared" si="23"/>
        <v>-0.17023801647570025</v>
      </c>
      <c r="T45" s="1">
        <f t="shared" si="23"/>
        <v>6.8525534484820128E-2</v>
      </c>
      <c r="U45" s="1">
        <f t="shared" si="23"/>
        <v>0.31116292646921018</v>
      </c>
      <c r="V45" s="1">
        <f t="shared" si="23"/>
        <v>0.55773701096471484</v>
      </c>
    </row>
    <row r="47" spans="1:22">
      <c r="A47" t="s">
        <v>94</v>
      </c>
      <c r="C47" s="1">
        <f>AVERAGE(C40:C45)</f>
        <v>-0.14472333333333356</v>
      </c>
      <c r="D47" s="1">
        <f t="shared" ref="D47:H47" si="25">AVERAGE(D40:D45)</f>
        <v>-0.13472333333333356</v>
      </c>
      <c r="E47" s="1">
        <f t="shared" si="25"/>
        <v>-0.12472333333333363</v>
      </c>
      <c r="F47" s="1">
        <f t="shared" si="25"/>
        <v>-0.11472333333333377</v>
      </c>
      <c r="G47" s="1">
        <f t="shared" si="25"/>
        <v>-0.10472333333333383</v>
      </c>
      <c r="H47" s="1">
        <f t="shared" si="25"/>
        <v>-9.4723333333333826E-2</v>
      </c>
      <c r="J47" s="1">
        <f>AVERAGE(J40:J45)</f>
        <v>-0.14472333333333356</v>
      </c>
      <c r="K47" s="1">
        <f t="shared" ref="K47:O47" si="26">AVERAGE(K40:K45)</f>
        <v>-5.3056666666666898E-2</v>
      </c>
      <c r="L47" s="1">
        <f t="shared" si="26"/>
        <v>3.8610000000000068E-2</v>
      </c>
      <c r="M47" s="1">
        <f t="shared" si="26"/>
        <v>0.13027666666666674</v>
      </c>
      <c r="N47" s="1">
        <f t="shared" si="26"/>
        <v>0.22194333333333358</v>
      </c>
      <c r="O47" s="1">
        <f t="shared" si="26"/>
        <v>0.31361000000000022</v>
      </c>
      <c r="Q47" s="1">
        <f>AVERAGE(Q40:Q45)</f>
        <v>-0.14472333333333356</v>
      </c>
      <c r="R47" s="1">
        <f t="shared" ref="R47:V47" si="27">AVERAGE(R40:R45)</f>
        <v>-7.2883489164175239E-2</v>
      </c>
      <c r="S47" s="1">
        <f t="shared" si="27"/>
        <v>4.6111124440972873E-7</v>
      </c>
      <c r="T47" s="1">
        <f t="shared" si="27"/>
        <v>7.3944076124880589E-2</v>
      </c>
      <c r="U47" s="1">
        <f t="shared" si="27"/>
        <v>0.1489631504223303</v>
      </c>
      <c r="V47" s="1">
        <f t="shared" si="27"/>
        <v>0.2250737180855259</v>
      </c>
    </row>
    <row r="48" spans="1:22">
      <c r="A48" t="s">
        <v>491</v>
      </c>
      <c r="C48">
        <f>STDEVP(C40:C45)</f>
        <v>0.38959024058047909</v>
      </c>
      <c r="D48">
        <f t="shared" ref="D48:H48" si="28">STDEVP(D40:D45)</f>
        <v>0.3895902405804792</v>
      </c>
      <c r="E48">
        <f t="shared" si="28"/>
        <v>0.3895902405804792</v>
      </c>
      <c r="F48">
        <f t="shared" si="28"/>
        <v>0.3895902405804792</v>
      </c>
      <c r="G48">
        <f t="shared" si="28"/>
        <v>0.38959024058047925</v>
      </c>
      <c r="H48">
        <f t="shared" si="28"/>
        <v>0.38959024058047925</v>
      </c>
      <c r="J48">
        <f>STDEVP(J40:J45)</f>
        <v>0.38959024058047909</v>
      </c>
      <c r="K48">
        <f t="shared" ref="K48:O48" si="29">STDEVP(K40:K45)</f>
        <v>0.36854066562894011</v>
      </c>
      <c r="L48">
        <f t="shared" si="29"/>
        <v>0.36836349801068313</v>
      </c>
      <c r="M48">
        <f t="shared" si="29"/>
        <v>0.38908725099762503</v>
      </c>
      <c r="N48">
        <f t="shared" si="29"/>
        <v>0.42768433322824562</v>
      </c>
      <c r="O48">
        <f t="shared" si="29"/>
        <v>0.47986109101141644</v>
      </c>
      <c r="Q48">
        <f>STDEVP(Q40:Q45)</f>
        <v>0.38959024058047909</v>
      </c>
      <c r="R48">
        <f t="shared" ref="R48:V48" si="30">STDEVP(R40:R45)</f>
        <v>0.36250822862166276</v>
      </c>
      <c r="S48">
        <f t="shared" si="30"/>
        <v>0.3536530851185582</v>
      </c>
      <c r="T48">
        <f t="shared" si="30"/>
        <v>0.36530819696320199</v>
      </c>
      <c r="U48">
        <f t="shared" si="30"/>
        <v>0.39657544167931752</v>
      </c>
      <c r="V48">
        <f t="shared" si="30"/>
        <v>0.44416783550313316</v>
      </c>
    </row>
    <row r="49" spans="1:22">
      <c r="C49" s="5" t="str">
        <f t="shared" ref="C49:V49" si="31">IF(C48=MIN($C$48:$V$48),"LAAGSTE","")</f>
        <v/>
      </c>
      <c r="D49" s="5" t="str">
        <f t="shared" si="31"/>
        <v/>
      </c>
      <c r="E49" s="5" t="str">
        <f t="shared" si="31"/>
        <v/>
      </c>
      <c r="F49" s="5" t="str">
        <f t="shared" si="31"/>
        <v/>
      </c>
      <c r="G49" s="5" t="str">
        <f t="shared" si="31"/>
        <v/>
      </c>
      <c r="H49" s="5" t="str">
        <f t="shared" si="31"/>
        <v/>
      </c>
      <c r="I49" s="5" t="str">
        <f t="shared" si="31"/>
        <v/>
      </c>
      <c r="J49" s="5" t="str">
        <f t="shared" si="31"/>
        <v/>
      </c>
      <c r="K49" s="5" t="str">
        <f t="shared" si="31"/>
        <v/>
      </c>
      <c r="L49" s="5" t="str">
        <f t="shared" si="31"/>
        <v/>
      </c>
      <c r="M49" s="5" t="str">
        <f t="shared" si="31"/>
        <v/>
      </c>
      <c r="N49" s="5" t="str">
        <f t="shared" si="31"/>
        <v/>
      </c>
      <c r="O49" s="5" t="str">
        <f t="shared" si="31"/>
        <v/>
      </c>
      <c r="P49" s="5" t="str">
        <f t="shared" si="31"/>
        <v/>
      </c>
      <c r="Q49" s="5" t="str">
        <f t="shared" si="31"/>
        <v/>
      </c>
      <c r="R49" s="5" t="str">
        <f t="shared" si="31"/>
        <v/>
      </c>
      <c r="S49" s="5" t="str">
        <f t="shared" si="31"/>
        <v>LAAGSTE</v>
      </c>
      <c r="T49" s="5" t="str">
        <f t="shared" si="31"/>
        <v/>
      </c>
      <c r="U49" s="5" t="str">
        <f t="shared" si="31"/>
        <v/>
      </c>
      <c r="V49" s="5" t="str">
        <f t="shared" si="31"/>
        <v/>
      </c>
    </row>
    <row r="50" spans="1:22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>
      <c r="R51" t="s">
        <v>757</v>
      </c>
    </row>
    <row r="52" spans="1:22">
      <c r="A52" s="4" t="s">
        <v>749</v>
      </c>
      <c r="C52" s="14" t="s">
        <v>750</v>
      </c>
    </row>
    <row r="54" spans="1:22">
      <c r="A54" s="54" t="s">
        <v>728</v>
      </c>
      <c r="C54" s="5" t="str">
        <f>IF(C67=MIN($C$67:$V$67),"BESTE?","")</f>
        <v/>
      </c>
      <c r="D54" s="5" t="str">
        <f t="shared" ref="D54:V54" si="32">IF(D67=MIN($C$67:$V$67),"BESTE?","")</f>
        <v/>
      </c>
      <c r="E54" s="5" t="str">
        <f t="shared" si="32"/>
        <v/>
      </c>
      <c r="F54" s="5" t="str">
        <f t="shared" si="32"/>
        <v/>
      </c>
      <c r="G54" s="5" t="str">
        <f t="shared" si="32"/>
        <v/>
      </c>
      <c r="H54" s="5" t="str">
        <f t="shared" si="32"/>
        <v/>
      </c>
      <c r="I54" s="5" t="str">
        <f t="shared" si="32"/>
        <v/>
      </c>
      <c r="J54" s="5" t="str">
        <f t="shared" si="32"/>
        <v/>
      </c>
      <c r="K54" s="5" t="str">
        <f t="shared" si="32"/>
        <v/>
      </c>
      <c r="L54" s="5" t="str">
        <f t="shared" si="32"/>
        <v/>
      </c>
      <c r="M54" s="5" t="str">
        <f t="shared" si="32"/>
        <v/>
      </c>
      <c r="N54" s="5" t="str">
        <f t="shared" si="32"/>
        <v/>
      </c>
      <c r="O54" s="5" t="str">
        <f t="shared" si="32"/>
        <v/>
      </c>
      <c r="P54" s="5" t="str">
        <f t="shared" si="32"/>
        <v/>
      </c>
      <c r="Q54" s="5" t="str">
        <f t="shared" si="32"/>
        <v/>
      </c>
      <c r="R54" s="5" t="str">
        <f t="shared" si="32"/>
        <v>BESTE?</v>
      </c>
      <c r="S54" s="5" t="str">
        <f t="shared" si="32"/>
        <v/>
      </c>
      <c r="T54" s="5" t="str">
        <f t="shared" si="32"/>
        <v/>
      </c>
      <c r="U54" s="5" t="str">
        <f t="shared" si="32"/>
        <v/>
      </c>
      <c r="V54" s="5" t="str">
        <f t="shared" si="32"/>
        <v/>
      </c>
    </row>
    <row r="55" spans="1:22">
      <c r="A55" s="1" t="s">
        <v>1</v>
      </c>
      <c r="B55">
        <v>0.01</v>
      </c>
      <c r="C55" s="36">
        <v>0</v>
      </c>
      <c r="D55">
        <f>C55+$B$36</f>
        <v>0.01</v>
      </c>
      <c r="E55">
        <f t="shared" ref="E55" si="33">D55+$B$36</f>
        <v>0.02</v>
      </c>
      <c r="F55">
        <f t="shared" ref="F55" si="34">E55+$B$36</f>
        <v>0.03</v>
      </c>
      <c r="G55">
        <f t="shared" ref="G55" si="35">F55+$B$36</f>
        <v>0.04</v>
      </c>
      <c r="H55">
        <f t="shared" ref="H55" si="36">G55+$B$36</f>
        <v>0.05</v>
      </c>
      <c r="J55" s="2">
        <f>C55</f>
        <v>0</v>
      </c>
      <c r="K55">
        <f>J55</f>
        <v>0</v>
      </c>
      <c r="L55">
        <f t="shared" ref="L55" si="37">K55</f>
        <v>0</v>
      </c>
      <c r="M55">
        <f t="shared" ref="M55" si="38">L55</f>
        <v>0</v>
      </c>
      <c r="N55">
        <f>M55</f>
        <v>0</v>
      </c>
      <c r="O55">
        <f t="shared" ref="O55" si="39">N55</f>
        <v>0</v>
      </c>
      <c r="Q55" s="2">
        <f>C55</f>
        <v>0</v>
      </c>
      <c r="R55">
        <f>Q55</f>
        <v>0</v>
      </c>
      <c r="S55">
        <f t="shared" ref="S55:S56" si="40">R55</f>
        <v>0</v>
      </c>
      <c r="T55">
        <f t="shared" ref="T55:T56" si="41">S55</f>
        <v>0</v>
      </c>
      <c r="U55">
        <f t="shared" ref="U55:U56" si="42">T55</f>
        <v>0</v>
      </c>
      <c r="V55">
        <f t="shared" ref="V55:V56" si="43">U55</f>
        <v>0</v>
      </c>
    </row>
    <row r="56" spans="1:22">
      <c r="A56" s="1" t="s">
        <v>2</v>
      </c>
      <c r="B56">
        <v>0.01</v>
      </c>
      <c r="C56" s="36">
        <v>0.6</v>
      </c>
      <c r="D56">
        <f>C56</f>
        <v>0.6</v>
      </c>
      <c r="E56">
        <f t="shared" ref="E56:E57" si="44">D56</f>
        <v>0.6</v>
      </c>
      <c r="F56">
        <f t="shared" ref="F56:F57" si="45">E56</f>
        <v>0.6</v>
      </c>
      <c r="G56">
        <f t="shared" ref="G56:G57" si="46">F56</f>
        <v>0.6</v>
      </c>
      <c r="H56">
        <f t="shared" ref="H56:H57" si="47">G56</f>
        <v>0.6</v>
      </c>
      <c r="J56" s="2">
        <f>C56</f>
        <v>0.6</v>
      </c>
      <c r="K56">
        <f>J56+$B$37</f>
        <v>0.61</v>
      </c>
      <c r="L56">
        <f>K56+$B$37</f>
        <v>0.62</v>
      </c>
      <c r="M56">
        <f>L56+$B$37</f>
        <v>0.63</v>
      </c>
      <c r="N56">
        <f>M56+$B$37</f>
        <v>0.64</v>
      </c>
      <c r="O56">
        <f>N56+$B$37</f>
        <v>0.65</v>
      </c>
      <c r="Q56" s="2">
        <f>C56</f>
        <v>0.6</v>
      </c>
      <c r="R56">
        <f t="shared" ref="R56" si="48">Q56</f>
        <v>0.6</v>
      </c>
      <c r="S56">
        <f t="shared" si="40"/>
        <v>0.6</v>
      </c>
      <c r="T56">
        <f t="shared" si="41"/>
        <v>0.6</v>
      </c>
      <c r="U56">
        <f t="shared" si="42"/>
        <v>0.6</v>
      </c>
      <c r="V56">
        <f t="shared" si="43"/>
        <v>0.6</v>
      </c>
    </row>
    <row r="57" spans="1:22">
      <c r="A57" s="1" t="s">
        <v>325</v>
      </c>
      <c r="B57">
        <v>0.01</v>
      </c>
      <c r="C57" s="36">
        <v>2</v>
      </c>
      <c r="D57">
        <f>C57</f>
        <v>2</v>
      </c>
      <c r="E57">
        <f t="shared" si="44"/>
        <v>2</v>
      </c>
      <c r="F57">
        <f t="shared" si="45"/>
        <v>2</v>
      </c>
      <c r="G57">
        <f t="shared" si="46"/>
        <v>2</v>
      </c>
      <c r="H57">
        <f t="shared" si="47"/>
        <v>2</v>
      </c>
      <c r="J57" s="2">
        <f>C57</f>
        <v>2</v>
      </c>
      <c r="K57">
        <f t="shared" ref="K57" si="49">J57</f>
        <v>2</v>
      </c>
      <c r="L57">
        <f t="shared" ref="L57" si="50">K57</f>
        <v>2</v>
      </c>
      <c r="M57">
        <f t="shared" ref="M57" si="51">L57</f>
        <v>2</v>
      </c>
      <c r="N57">
        <f>M57</f>
        <v>2</v>
      </c>
      <c r="O57">
        <f t="shared" ref="O57" si="52">N57</f>
        <v>2</v>
      </c>
      <c r="Q57" s="2">
        <f>C57</f>
        <v>2</v>
      </c>
      <c r="R57">
        <f>Q57+$B$38</f>
        <v>2.0099999999999998</v>
      </c>
      <c r="S57">
        <f>R57+$B$38</f>
        <v>2.0199999999999996</v>
      </c>
      <c r="T57">
        <f>S57+$B$38</f>
        <v>2.0299999999999994</v>
      </c>
      <c r="U57">
        <f>T57+$B$38</f>
        <v>2.0399999999999991</v>
      </c>
      <c r="V57">
        <f>U57+$B$38</f>
        <v>2.0499999999999989</v>
      </c>
    </row>
    <row r="58" spans="1:22">
      <c r="A58" s="36" t="s">
        <v>42</v>
      </c>
      <c r="B58" s="36" t="s">
        <v>4</v>
      </c>
      <c r="C58" s="1" t="s">
        <v>752</v>
      </c>
      <c r="D58" s="1"/>
      <c r="J58" s="1"/>
      <c r="Q58" s="1"/>
    </row>
    <row r="59" spans="1:22">
      <c r="A59" s="36">
        <v>0</v>
      </c>
      <c r="B59" s="36">
        <v>1</v>
      </c>
      <c r="C59" s="1">
        <f t="shared" ref="C59:H59" si="53">C$55+C$56*$A59^C$57-$B59</f>
        <v>-1</v>
      </c>
      <c r="D59" s="1">
        <f t="shared" si="53"/>
        <v>-0.99</v>
      </c>
      <c r="E59" s="1">
        <f t="shared" si="53"/>
        <v>-0.98</v>
      </c>
      <c r="F59" s="1">
        <f t="shared" si="53"/>
        <v>-0.97</v>
      </c>
      <c r="G59" s="1">
        <f t="shared" si="53"/>
        <v>-0.96</v>
      </c>
      <c r="H59" s="1">
        <f t="shared" si="53"/>
        <v>-0.95</v>
      </c>
      <c r="I59" s="1"/>
      <c r="J59" s="1">
        <f t="shared" ref="J59:O64" si="54">J$55+J$56*$A59^J$57-$B59</f>
        <v>-1</v>
      </c>
      <c r="K59" s="1">
        <f t="shared" si="54"/>
        <v>-1</v>
      </c>
      <c r="L59" s="1">
        <f t="shared" si="54"/>
        <v>-1</v>
      </c>
      <c r="M59" s="1">
        <f t="shared" si="54"/>
        <v>-1</v>
      </c>
      <c r="N59" s="1">
        <f t="shared" si="54"/>
        <v>-1</v>
      </c>
      <c r="O59" s="1">
        <f t="shared" si="54"/>
        <v>-1</v>
      </c>
      <c r="P59" s="1"/>
      <c r="Q59" s="1">
        <f t="shared" ref="Q59:S64" si="55">Q$55+Q$56*$A59^Q$57-$B59</f>
        <v>-1</v>
      </c>
      <c r="R59" s="1">
        <f t="shared" si="55"/>
        <v>-1</v>
      </c>
      <c r="S59" s="1">
        <f t="shared" si="55"/>
        <v>-1</v>
      </c>
      <c r="T59" s="1">
        <f t="shared" ref="T59:V64" si="56">T$55+T$56*$A59^T$57-$B59</f>
        <v>-1</v>
      </c>
      <c r="U59" s="1">
        <f t="shared" si="56"/>
        <v>-1</v>
      </c>
      <c r="V59" s="1">
        <f t="shared" si="56"/>
        <v>-1</v>
      </c>
    </row>
    <row r="60" spans="1:22">
      <c r="A60" s="36">
        <v>1</v>
      </c>
      <c r="B60" s="36">
        <v>0.5</v>
      </c>
      <c r="C60" s="1">
        <f t="shared" ref="C60:C64" si="57">C$55+C$56*$A60^C$57-$B60</f>
        <v>9.9999999999999978E-2</v>
      </c>
      <c r="D60" s="1">
        <f t="shared" ref="D60:H64" si="58">D$55+D$56*$A60^D$57-$B60</f>
        <v>0.10999999999999999</v>
      </c>
      <c r="E60" s="1">
        <f t="shared" si="58"/>
        <v>0.12</v>
      </c>
      <c r="F60" s="1">
        <f t="shared" si="58"/>
        <v>0.13</v>
      </c>
      <c r="G60" s="1">
        <f t="shared" si="58"/>
        <v>0.14000000000000001</v>
      </c>
      <c r="H60" s="1">
        <f t="shared" si="58"/>
        <v>0.15000000000000002</v>
      </c>
      <c r="I60" s="1"/>
      <c r="J60" s="1">
        <f t="shared" si="54"/>
        <v>9.9999999999999978E-2</v>
      </c>
      <c r="K60" s="1">
        <f t="shared" si="54"/>
        <v>0.10999999999999999</v>
      </c>
      <c r="L60" s="1">
        <f t="shared" si="54"/>
        <v>0.12</v>
      </c>
      <c r="M60" s="1">
        <f t="shared" si="54"/>
        <v>0.13</v>
      </c>
      <c r="N60" s="1">
        <f t="shared" si="54"/>
        <v>0.14000000000000001</v>
      </c>
      <c r="O60" s="1">
        <f t="shared" si="54"/>
        <v>0.15000000000000002</v>
      </c>
      <c r="P60" s="1"/>
      <c r="Q60" s="1">
        <f t="shared" si="55"/>
        <v>9.9999999999999978E-2</v>
      </c>
      <c r="R60" s="1">
        <f t="shared" si="55"/>
        <v>9.9999999999999978E-2</v>
      </c>
      <c r="S60" s="1">
        <f t="shared" si="55"/>
        <v>9.9999999999999978E-2</v>
      </c>
      <c r="T60" s="1">
        <f t="shared" si="56"/>
        <v>9.9999999999999978E-2</v>
      </c>
      <c r="U60" s="1">
        <f t="shared" si="56"/>
        <v>9.9999999999999978E-2</v>
      </c>
      <c r="V60" s="1">
        <f t="shared" si="56"/>
        <v>9.9999999999999978E-2</v>
      </c>
    </row>
    <row r="61" spans="1:22">
      <c r="A61" s="36">
        <v>2</v>
      </c>
      <c r="B61" s="36">
        <v>2.5</v>
      </c>
      <c r="C61" s="1">
        <f t="shared" si="57"/>
        <v>-0.10000000000000009</v>
      </c>
      <c r="D61" s="1">
        <f t="shared" si="58"/>
        <v>-9.0000000000000302E-2</v>
      </c>
      <c r="E61" s="1">
        <f t="shared" si="58"/>
        <v>-8.0000000000000071E-2</v>
      </c>
      <c r="F61" s="1">
        <f t="shared" si="58"/>
        <v>-7.0000000000000284E-2</v>
      </c>
      <c r="G61" s="1">
        <f t="shared" si="58"/>
        <v>-6.0000000000000053E-2</v>
      </c>
      <c r="H61" s="1">
        <f t="shared" si="58"/>
        <v>-5.0000000000000266E-2</v>
      </c>
      <c r="I61" s="1"/>
      <c r="J61" s="1">
        <f t="shared" si="54"/>
        <v>-0.10000000000000009</v>
      </c>
      <c r="K61" s="1">
        <f t="shared" si="54"/>
        <v>-6.0000000000000053E-2</v>
      </c>
      <c r="L61" s="1">
        <f t="shared" si="54"/>
        <v>-2.0000000000000018E-2</v>
      </c>
      <c r="M61" s="1">
        <f t="shared" si="54"/>
        <v>2.0000000000000018E-2</v>
      </c>
      <c r="N61" s="1">
        <f t="shared" si="54"/>
        <v>6.0000000000000053E-2</v>
      </c>
      <c r="O61" s="1">
        <f t="shared" si="54"/>
        <v>0.10000000000000009</v>
      </c>
      <c r="P61" s="1"/>
      <c r="Q61" s="1">
        <f t="shared" si="55"/>
        <v>-0.10000000000000009</v>
      </c>
      <c r="R61" s="1">
        <f t="shared" si="55"/>
        <v>-8.3306679863875299E-2</v>
      </c>
      <c r="S61" s="1">
        <f t="shared" si="55"/>
        <v>-6.6497248503931239E-2</v>
      </c>
      <c r="T61" s="1">
        <f t="shared" si="56"/>
        <v>-4.9570898302737643E-2</v>
      </c>
      <c r="U61" s="1">
        <f t="shared" si="56"/>
        <v>-3.2526816025442162E-2</v>
      </c>
      <c r="V61" s="1">
        <f t="shared" si="56"/>
        <v>-1.5364182780695845E-2</v>
      </c>
    </row>
    <row r="62" spans="1:22">
      <c r="A62" s="36">
        <v>3</v>
      </c>
      <c r="B62" s="36">
        <v>5.5</v>
      </c>
      <c r="C62" s="1">
        <f t="shared" si="57"/>
        <v>-0.10000000000000053</v>
      </c>
      <c r="D62" s="1">
        <f t="shared" si="58"/>
        <v>-9.0000000000000746E-2</v>
      </c>
      <c r="E62" s="1">
        <f t="shared" si="58"/>
        <v>-8.0000000000000959E-2</v>
      </c>
      <c r="F62" s="1">
        <f t="shared" si="58"/>
        <v>-7.0000000000000284E-2</v>
      </c>
      <c r="G62" s="1">
        <f t="shared" si="58"/>
        <v>-6.0000000000000497E-2</v>
      </c>
      <c r="H62" s="1">
        <f t="shared" si="58"/>
        <v>-5.0000000000000711E-2</v>
      </c>
      <c r="I62" s="1"/>
      <c r="J62" s="1">
        <f t="shared" si="54"/>
        <v>-0.10000000000000053</v>
      </c>
      <c r="K62" s="1">
        <f t="shared" si="54"/>
        <v>-9.9999999999997868E-3</v>
      </c>
      <c r="L62" s="1">
        <f t="shared" si="54"/>
        <v>8.0000000000000071E-2</v>
      </c>
      <c r="M62" s="1">
        <f t="shared" si="54"/>
        <v>0.16999999999999993</v>
      </c>
      <c r="N62" s="1">
        <f t="shared" si="54"/>
        <v>0.25999999999999979</v>
      </c>
      <c r="O62" s="1">
        <f t="shared" si="54"/>
        <v>0.35000000000000053</v>
      </c>
      <c r="P62" s="1"/>
      <c r="Q62" s="1">
        <f t="shared" si="55"/>
        <v>-0.10000000000000053</v>
      </c>
      <c r="R62" s="1">
        <f t="shared" si="55"/>
        <v>-4.0347863535591166E-2</v>
      </c>
      <c r="S62" s="1">
        <f t="shared" si="55"/>
        <v>1.9963231703773232E-2</v>
      </c>
      <c r="T62" s="1">
        <f t="shared" si="56"/>
        <v>8.0940565032684653E-2</v>
      </c>
      <c r="U62" s="1">
        <f t="shared" si="56"/>
        <v>0.14259149617806877</v>
      </c>
      <c r="V62" s="1">
        <f t="shared" si="56"/>
        <v>0.20492346616749835</v>
      </c>
    </row>
    <row r="63" spans="1:22">
      <c r="A63" s="36">
        <v>4</v>
      </c>
      <c r="B63" s="36">
        <v>9.4</v>
      </c>
      <c r="C63" s="1">
        <f t="shared" si="57"/>
        <v>0.19999999999999929</v>
      </c>
      <c r="D63" s="1">
        <f t="shared" si="58"/>
        <v>0.20999999999999908</v>
      </c>
      <c r="E63" s="1">
        <f t="shared" si="58"/>
        <v>0.21999999999999886</v>
      </c>
      <c r="F63" s="1">
        <f t="shared" si="58"/>
        <v>0.22999999999999865</v>
      </c>
      <c r="G63" s="1">
        <f t="shared" si="58"/>
        <v>0.23999999999999844</v>
      </c>
      <c r="H63" s="1">
        <f t="shared" si="58"/>
        <v>0.25</v>
      </c>
      <c r="I63" s="1"/>
      <c r="J63" s="1">
        <f t="shared" si="54"/>
        <v>0.19999999999999929</v>
      </c>
      <c r="K63" s="1">
        <f t="shared" si="54"/>
        <v>0.35999999999999943</v>
      </c>
      <c r="L63" s="1">
        <f t="shared" si="54"/>
        <v>0.51999999999999957</v>
      </c>
      <c r="M63" s="1">
        <f t="shared" si="54"/>
        <v>0.67999999999999972</v>
      </c>
      <c r="N63" s="1">
        <f t="shared" si="54"/>
        <v>0.83999999999999986</v>
      </c>
      <c r="O63" s="1">
        <f t="shared" si="54"/>
        <v>1</v>
      </c>
      <c r="P63" s="1"/>
      <c r="Q63" s="1">
        <f t="shared" si="55"/>
        <v>0.19999999999999929</v>
      </c>
      <c r="R63" s="1">
        <f t="shared" si="55"/>
        <v>0.33401100598427469</v>
      </c>
      <c r="S63" s="1">
        <f t="shared" si="55"/>
        <v>0.46989273589822922</v>
      </c>
      <c r="T63" s="1">
        <f t="shared" si="56"/>
        <v>0.60767130407475278</v>
      </c>
      <c r="U63" s="1">
        <f t="shared" si="56"/>
        <v>0.74737318938923991</v>
      </c>
      <c r="V63" s="1">
        <f t="shared" si="56"/>
        <v>0.88902524034839914</v>
      </c>
    </row>
    <row r="64" spans="1:22">
      <c r="A64" s="36">
        <v>5</v>
      </c>
      <c r="B64" s="36">
        <v>15.2</v>
      </c>
      <c r="C64" s="1">
        <f t="shared" si="57"/>
        <v>-0.19999999999999929</v>
      </c>
      <c r="D64" s="1">
        <f t="shared" si="58"/>
        <v>-0.1899999999999995</v>
      </c>
      <c r="E64" s="1">
        <f t="shared" si="58"/>
        <v>-0.17999999999999972</v>
      </c>
      <c r="F64" s="1">
        <f t="shared" si="58"/>
        <v>-0.16999999999999993</v>
      </c>
      <c r="G64" s="1">
        <f t="shared" si="58"/>
        <v>-0.16000000000000014</v>
      </c>
      <c r="H64" s="1">
        <f t="shared" si="58"/>
        <v>-0.14999999999999858</v>
      </c>
      <c r="I64" s="1"/>
      <c r="J64" s="1">
        <f t="shared" si="54"/>
        <v>-0.19999999999999929</v>
      </c>
      <c r="K64" s="1">
        <f t="shared" si="54"/>
        <v>5.0000000000000711E-2</v>
      </c>
      <c r="L64" s="1">
        <f t="shared" si="54"/>
        <v>0.30000000000000071</v>
      </c>
      <c r="M64" s="1">
        <f t="shared" si="54"/>
        <v>0.55000000000000071</v>
      </c>
      <c r="N64" s="1">
        <f t="shared" si="54"/>
        <v>0.80000000000000071</v>
      </c>
      <c r="O64" s="1">
        <f t="shared" si="54"/>
        <v>1.0500000000000007</v>
      </c>
      <c r="P64" s="1"/>
      <c r="Q64" s="1">
        <f t="shared" si="55"/>
        <v>-0.19999999999999929</v>
      </c>
      <c r="R64" s="1">
        <f t="shared" si="55"/>
        <v>4.3368869009876576E-2</v>
      </c>
      <c r="S64" s="1">
        <f t="shared" si="55"/>
        <v>0.29068629844663185</v>
      </c>
      <c r="T64" s="1">
        <f t="shared" si="56"/>
        <v>0.54201635208928423</v>
      </c>
      <c r="U64" s="1">
        <f t="shared" si="56"/>
        <v>0.79742413312548344</v>
      </c>
      <c r="V64" s="1">
        <f t="shared" si="56"/>
        <v>1.0569758010154899</v>
      </c>
    </row>
    <row r="66" spans="1:22">
      <c r="A66" t="s">
        <v>94</v>
      </c>
      <c r="C66" s="1">
        <f>AVERAGE(C60:C64)</f>
        <v>-2.0000000000000129E-2</v>
      </c>
      <c r="D66" s="1">
        <f t="shared" ref="D66:V66" si="59">AVERAGE(D60:D64)</f>
        <v>-1.0000000000000297E-2</v>
      </c>
      <c r="E66" s="1">
        <f t="shared" si="59"/>
        <v>-3.7747582837255321E-16</v>
      </c>
      <c r="F66" s="1">
        <f t="shared" si="59"/>
        <v>9.9999999999996307E-3</v>
      </c>
      <c r="G66" s="1">
        <f t="shared" si="59"/>
        <v>1.9999999999999553E-2</v>
      </c>
      <c r="H66" s="1">
        <f t="shared" si="59"/>
        <v>3.0000000000000093E-2</v>
      </c>
      <c r="I66" s="1"/>
      <c r="J66" s="1">
        <f t="shared" si="59"/>
        <v>-2.0000000000000129E-2</v>
      </c>
      <c r="K66" s="1">
        <f t="shared" si="59"/>
        <v>9.0000000000000052E-2</v>
      </c>
      <c r="L66" s="1">
        <f t="shared" si="59"/>
        <v>0.20000000000000009</v>
      </c>
      <c r="M66" s="1">
        <f t="shared" si="59"/>
        <v>0.31000000000000005</v>
      </c>
      <c r="N66" s="1">
        <f t="shared" si="59"/>
        <v>0.4200000000000001</v>
      </c>
      <c r="O66" s="1">
        <f t="shared" si="59"/>
        <v>0.53000000000000025</v>
      </c>
      <c r="P66" s="1"/>
      <c r="Q66" s="1">
        <f t="shared" si="59"/>
        <v>-2.0000000000000129E-2</v>
      </c>
      <c r="R66" s="1">
        <f t="shared" si="59"/>
        <v>7.0745066318936956E-2</v>
      </c>
      <c r="S66" s="1">
        <f t="shared" si="59"/>
        <v>0.16280900350894062</v>
      </c>
      <c r="T66" s="1">
        <f t="shared" si="59"/>
        <v>0.25621146457879684</v>
      </c>
      <c r="U66" s="1">
        <f t="shared" si="59"/>
        <v>0.35097240053347001</v>
      </c>
      <c r="V66" s="1">
        <f t="shared" si="59"/>
        <v>0.44711206495013833</v>
      </c>
    </row>
    <row r="67" spans="1:22">
      <c r="A67" t="s">
        <v>491</v>
      </c>
      <c r="C67">
        <f>STDEVP(C60:C64)</f>
        <v>0.14696938456699038</v>
      </c>
      <c r="D67">
        <f t="shared" ref="D67:V67" si="60">STDEVP(D60:D64)</f>
        <v>0.14696938456699041</v>
      </c>
      <c r="E67">
        <f t="shared" si="60"/>
        <v>0.14696938456699038</v>
      </c>
      <c r="F67">
        <f t="shared" si="60"/>
        <v>0.14696938456699032</v>
      </c>
      <c r="G67">
        <f t="shared" si="60"/>
        <v>0.1469693845669903</v>
      </c>
      <c r="H67">
        <f t="shared" si="60"/>
        <v>0.14696938456699046</v>
      </c>
      <c r="J67">
        <f t="shared" si="60"/>
        <v>0.14696938456699038</v>
      </c>
      <c r="K67">
        <f t="shared" si="60"/>
        <v>0.14656056768448983</v>
      </c>
      <c r="L67">
        <f t="shared" si="60"/>
        <v>0.19057806799314539</v>
      </c>
      <c r="M67">
        <f t="shared" si="60"/>
        <v>0.25713809519400282</v>
      </c>
      <c r="N67">
        <f t="shared" si="60"/>
        <v>0.33298648621227872</v>
      </c>
      <c r="O67">
        <f t="shared" si="60"/>
        <v>0.41303752856126785</v>
      </c>
      <c r="Q67">
        <f t="shared" si="60"/>
        <v>0.14696938456699038</v>
      </c>
      <c r="R67">
        <f t="shared" si="60"/>
        <v>0.14627907702559376</v>
      </c>
      <c r="S67">
        <f t="shared" si="60"/>
        <v>0.19369267612137958</v>
      </c>
      <c r="T67">
        <f t="shared" si="60"/>
        <v>0.26602000520501307</v>
      </c>
      <c r="U67">
        <f t="shared" si="60"/>
        <v>0.34926612523137535</v>
      </c>
      <c r="V67">
        <f t="shared" si="60"/>
        <v>0.43823450660293795</v>
      </c>
    </row>
    <row r="68" spans="1:22">
      <c r="C68" s="5" t="str">
        <f>IF(C67=MIN($C$67:$V$67),"LAAGSTE","")</f>
        <v/>
      </c>
      <c r="D68" s="5" t="str">
        <f t="shared" ref="D68:V68" si="61">IF(D67=MIN($C$67:$V$67),"LAAGSTE","")</f>
        <v/>
      </c>
      <c r="E68" s="5" t="str">
        <f t="shared" si="61"/>
        <v/>
      </c>
      <c r="F68" s="5" t="str">
        <f t="shared" si="61"/>
        <v/>
      </c>
      <c r="G68" s="5" t="str">
        <f t="shared" si="61"/>
        <v/>
      </c>
      <c r="H68" s="5" t="str">
        <f t="shared" si="61"/>
        <v/>
      </c>
      <c r="I68" s="5" t="str">
        <f t="shared" si="61"/>
        <v/>
      </c>
      <c r="J68" s="5" t="str">
        <f t="shared" si="61"/>
        <v/>
      </c>
      <c r="K68" s="5" t="str">
        <f t="shared" si="61"/>
        <v/>
      </c>
      <c r="L68" s="5" t="str">
        <f t="shared" si="61"/>
        <v/>
      </c>
      <c r="M68" s="5" t="str">
        <f t="shared" si="61"/>
        <v/>
      </c>
      <c r="N68" s="5" t="str">
        <f t="shared" si="61"/>
        <v/>
      </c>
      <c r="O68" s="5" t="str">
        <f t="shared" si="61"/>
        <v/>
      </c>
      <c r="P68" s="5" t="str">
        <f t="shared" si="61"/>
        <v/>
      </c>
      <c r="Q68" s="5" t="str">
        <f t="shared" si="61"/>
        <v/>
      </c>
      <c r="R68" s="5" t="str">
        <f t="shared" si="61"/>
        <v>LAAGSTE</v>
      </c>
      <c r="S68" s="5" t="str">
        <f t="shared" si="61"/>
        <v/>
      </c>
      <c r="T68" s="5" t="str">
        <f t="shared" si="61"/>
        <v/>
      </c>
      <c r="U68" s="5" t="str">
        <f t="shared" si="61"/>
        <v/>
      </c>
      <c r="V68" s="5" t="str">
        <f t="shared" si="61"/>
        <v/>
      </c>
    </row>
    <row r="70" spans="1:22">
      <c r="P70" s="14" t="s">
        <v>751</v>
      </c>
    </row>
    <row r="73" spans="1:22">
      <c r="A73" s="4" t="s">
        <v>753</v>
      </c>
      <c r="D73" s="14" t="s">
        <v>754</v>
      </c>
    </row>
    <row r="75" spans="1:22">
      <c r="A75" s="54" t="s">
        <v>755</v>
      </c>
      <c r="C75" s="5" t="str">
        <f>IF(C88=MIN($C$88:$V$88),"BESTE?","")</f>
        <v/>
      </c>
      <c r="D75" s="5" t="str">
        <f t="shared" ref="D75:V75" si="62">IF(D88=MIN($C$88:$V$88),"BESTE?","")</f>
        <v/>
      </c>
      <c r="E75" s="5" t="str">
        <f t="shared" si="62"/>
        <v/>
      </c>
      <c r="F75" s="5" t="str">
        <f t="shared" si="62"/>
        <v/>
      </c>
      <c r="G75" s="5" t="str">
        <f t="shared" si="62"/>
        <v/>
      </c>
      <c r="H75" s="5" t="str">
        <f t="shared" si="62"/>
        <v/>
      </c>
      <c r="I75" s="5" t="str">
        <f t="shared" si="62"/>
        <v/>
      </c>
      <c r="J75" s="5" t="str">
        <f t="shared" si="62"/>
        <v/>
      </c>
      <c r="K75" s="5" t="str">
        <f t="shared" si="62"/>
        <v/>
      </c>
      <c r="L75" s="5" t="str">
        <f t="shared" si="62"/>
        <v>BESTE?</v>
      </c>
      <c r="M75" s="5" t="str">
        <f t="shared" si="62"/>
        <v/>
      </c>
      <c r="N75" s="5" t="str">
        <f t="shared" si="62"/>
        <v/>
      </c>
      <c r="O75" s="5" t="str">
        <f t="shared" si="62"/>
        <v/>
      </c>
      <c r="P75" s="5" t="str">
        <f t="shared" si="62"/>
        <v/>
      </c>
      <c r="Q75" s="5" t="str">
        <f t="shared" si="62"/>
        <v/>
      </c>
      <c r="R75" s="5" t="str">
        <f t="shared" si="62"/>
        <v/>
      </c>
      <c r="S75" s="5" t="str">
        <f t="shared" si="62"/>
        <v/>
      </c>
      <c r="T75" s="5" t="str">
        <f t="shared" si="62"/>
        <v/>
      </c>
      <c r="U75" s="5" t="str">
        <f t="shared" si="62"/>
        <v/>
      </c>
      <c r="V75" s="5" t="str">
        <f t="shared" si="62"/>
        <v/>
      </c>
    </row>
    <row r="76" spans="1:22">
      <c r="A76" s="1" t="s">
        <v>1</v>
      </c>
      <c r="B76">
        <v>0.01</v>
      </c>
      <c r="C76" s="36">
        <v>0</v>
      </c>
      <c r="D76">
        <f>C76+$B$36</f>
        <v>0.01</v>
      </c>
      <c r="E76">
        <f t="shared" ref="E76" si="63">D76+$B$36</f>
        <v>0.02</v>
      </c>
      <c r="F76">
        <f t="shared" ref="F76" si="64">E76+$B$36</f>
        <v>0.03</v>
      </c>
      <c r="G76">
        <f t="shared" ref="G76" si="65">F76+$B$36</f>
        <v>0.04</v>
      </c>
      <c r="H76">
        <f t="shared" ref="H76" si="66">G76+$B$36</f>
        <v>0.05</v>
      </c>
      <c r="J76" s="2">
        <f>C76</f>
        <v>0</v>
      </c>
      <c r="K76">
        <f>J76</f>
        <v>0</v>
      </c>
      <c r="L76">
        <f t="shared" ref="L76" si="67">K76</f>
        <v>0</v>
      </c>
      <c r="M76">
        <f t="shared" ref="M76" si="68">L76</f>
        <v>0</v>
      </c>
      <c r="N76">
        <f>M76</f>
        <v>0</v>
      </c>
      <c r="O76">
        <f t="shared" ref="O76" si="69">N76</f>
        <v>0</v>
      </c>
      <c r="Q76" s="2">
        <f>C76</f>
        <v>0</v>
      </c>
      <c r="R76">
        <f>Q76</f>
        <v>0</v>
      </c>
      <c r="S76">
        <f t="shared" ref="S76:S77" si="70">R76</f>
        <v>0</v>
      </c>
      <c r="T76">
        <f t="shared" ref="T76:T77" si="71">S76</f>
        <v>0</v>
      </c>
      <c r="U76">
        <f t="shared" ref="U76:U77" si="72">T76</f>
        <v>0</v>
      </c>
      <c r="V76">
        <f t="shared" ref="V76:V77" si="73">U76</f>
        <v>0</v>
      </c>
    </row>
    <row r="77" spans="1:22">
      <c r="A77" s="1" t="s">
        <v>2</v>
      </c>
      <c r="B77">
        <v>0.01</v>
      </c>
      <c r="C77" s="36">
        <v>0.68</v>
      </c>
      <c r="D77">
        <f>C77</f>
        <v>0.68</v>
      </c>
      <c r="E77">
        <f t="shared" ref="E77:E78" si="74">D77</f>
        <v>0.68</v>
      </c>
      <c r="F77">
        <f t="shared" ref="F77:F78" si="75">E77</f>
        <v>0.68</v>
      </c>
      <c r="G77">
        <f t="shared" ref="G77:G78" si="76">F77</f>
        <v>0.68</v>
      </c>
      <c r="H77">
        <f t="shared" ref="H77:H78" si="77">G77</f>
        <v>0.68</v>
      </c>
      <c r="J77" s="2">
        <f>C77</f>
        <v>0.68</v>
      </c>
      <c r="K77">
        <f>J77+$B$37</f>
        <v>0.69000000000000006</v>
      </c>
      <c r="L77">
        <f>K77+$B$37</f>
        <v>0.70000000000000007</v>
      </c>
      <c r="M77">
        <f>L77+$B$37</f>
        <v>0.71000000000000008</v>
      </c>
      <c r="N77">
        <f>M77+$B$37</f>
        <v>0.72000000000000008</v>
      </c>
      <c r="O77">
        <f>N77+$B$37</f>
        <v>0.73000000000000009</v>
      </c>
      <c r="Q77" s="2">
        <f>C77</f>
        <v>0.68</v>
      </c>
      <c r="R77">
        <f t="shared" ref="R77" si="78">Q77</f>
        <v>0.68</v>
      </c>
      <c r="S77">
        <f t="shared" si="70"/>
        <v>0.68</v>
      </c>
      <c r="T77">
        <f t="shared" si="71"/>
        <v>0.68</v>
      </c>
      <c r="U77">
        <f t="shared" si="72"/>
        <v>0.68</v>
      </c>
      <c r="V77">
        <f t="shared" si="73"/>
        <v>0.68</v>
      </c>
    </row>
    <row r="78" spans="1:22">
      <c r="A78" s="1" t="s">
        <v>3</v>
      </c>
      <c r="B78">
        <v>0.01</v>
      </c>
      <c r="C78" s="36">
        <v>0.621</v>
      </c>
      <c r="D78">
        <f>C78</f>
        <v>0.621</v>
      </c>
      <c r="E78">
        <f t="shared" si="74"/>
        <v>0.621</v>
      </c>
      <c r="F78">
        <f t="shared" si="75"/>
        <v>0.621</v>
      </c>
      <c r="G78">
        <f t="shared" si="76"/>
        <v>0.621</v>
      </c>
      <c r="H78">
        <f t="shared" si="77"/>
        <v>0.621</v>
      </c>
      <c r="J78" s="2">
        <f>C78</f>
        <v>0.621</v>
      </c>
      <c r="K78">
        <f t="shared" ref="K78" si="79">J78</f>
        <v>0.621</v>
      </c>
      <c r="L78">
        <f t="shared" ref="L78" si="80">K78</f>
        <v>0.621</v>
      </c>
      <c r="M78">
        <f t="shared" ref="M78" si="81">L78</f>
        <v>0.621</v>
      </c>
      <c r="N78">
        <f>M78</f>
        <v>0.621</v>
      </c>
      <c r="O78">
        <f t="shared" ref="O78" si="82">N78</f>
        <v>0.621</v>
      </c>
      <c r="Q78" s="2">
        <f>C78</f>
        <v>0.621</v>
      </c>
      <c r="R78">
        <f>Q78+$B$38</f>
        <v>0.63100000000000001</v>
      </c>
      <c r="S78">
        <f>R78+$B$38</f>
        <v>0.64100000000000001</v>
      </c>
      <c r="T78">
        <f>S78+$B$38</f>
        <v>0.65100000000000002</v>
      </c>
      <c r="U78">
        <f>T78+$B$38</f>
        <v>0.66100000000000003</v>
      </c>
      <c r="V78">
        <f>U78+$B$38</f>
        <v>0.67100000000000004</v>
      </c>
    </row>
    <row r="79" spans="1:22">
      <c r="A79" s="36" t="s">
        <v>42</v>
      </c>
      <c r="B79" s="36" t="s">
        <v>4</v>
      </c>
      <c r="C79" s="1" t="s">
        <v>752</v>
      </c>
      <c r="D79" s="1"/>
      <c r="J79" s="1"/>
      <c r="Q79" s="1"/>
    </row>
    <row r="80" spans="1:22">
      <c r="A80" s="36">
        <v>0</v>
      </c>
      <c r="B80" s="36">
        <v>1</v>
      </c>
      <c r="C80" s="1">
        <f t="shared" ref="C80:H80" si="83">C$76+C$77*EXP(C$78*$A80)-$B80</f>
        <v>-0.31999999999999995</v>
      </c>
      <c r="D80" s="1">
        <f t="shared" si="83"/>
        <v>-0.30999999999999994</v>
      </c>
      <c r="E80" s="1">
        <f t="shared" si="83"/>
        <v>-0.29999999999999993</v>
      </c>
      <c r="F80" s="1">
        <f t="shared" si="83"/>
        <v>-0.28999999999999992</v>
      </c>
      <c r="G80" s="1">
        <f t="shared" si="83"/>
        <v>-0.27999999999999992</v>
      </c>
      <c r="H80" s="1">
        <f t="shared" si="83"/>
        <v>-0.26999999999999991</v>
      </c>
      <c r="I80" s="1"/>
      <c r="J80" s="1">
        <f t="shared" ref="J80:O85" si="84">J$76+J$77*EXP(J$78*$A80)-$B80</f>
        <v>-0.31999999999999995</v>
      </c>
      <c r="K80" s="1">
        <f t="shared" si="84"/>
        <v>-0.30999999999999994</v>
      </c>
      <c r="L80" s="1">
        <f t="shared" si="84"/>
        <v>-0.29999999999999993</v>
      </c>
      <c r="M80" s="1">
        <f t="shared" si="84"/>
        <v>-0.28999999999999992</v>
      </c>
      <c r="N80" s="1">
        <f t="shared" si="84"/>
        <v>-0.27999999999999992</v>
      </c>
      <c r="O80" s="1">
        <f t="shared" si="84"/>
        <v>-0.26999999999999991</v>
      </c>
      <c r="P80" s="1"/>
      <c r="Q80" s="1">
        <f t="shared" ref="Q80:S85" si="85">Q$76+Q$77*EXP(Q$78*$A80)-$B80</f>
        <v>-0.31999999999999995</v>
      </c>
      <c r="R80" s="1">
        <f t="shared" si="85"/>
        <v>-0.31999999999999995</v>
      </c>
      <c r="S80" s="1">
        <f t="shared" si="85"/>
        <v>-0.31999999999999995</v>
      </c>
      <c r="T80" s="1">
        <f t="shared" ref="T80:V85" si="86">T$76+T$77*EXP(T$78*$A80)-$B80</f>
        <v>-0.31999999999999995</v>
      </c>
      <c r="U80" s="1">
        <f t="shared" si="86"/>
        <v>-0.31999999999999995</v>
      </c>
      <c r="V80" s="1">
        <f t="shared" si="86"/>
        <v>-0.31999999999999995</v>
      </c>
    </row>
    <row r="81" spans="1:22">
      <c r="A81" s="36">
        <v>1</v>
      </c>
      <c r="B81" s="36">
        <v>0.5</v>
      </c>
      <c r="C81" s="1">
        <f t="shared" ref="C81:C85" si="87">C$76+C$77*EXP(C$78*$A81)-$B81</f>
        <v>0.7653357717702336</v>
      </c>
      <c r="D81" s="1">
        <f t="shared" ref="D81:H85" si="88">D$76+D$77*EXP(D$78*$A81)-$B81</f>
        <v>0.77533577177023361</v>
      </c>
      <c r="E81" s="1">
        <f t="shared" si="88"/>
        <v>0.78533577177023361</v>
      </c>
      <c r="F81" s="1">
        <f t="shared" si="88"/>
        <v>0.79533577177023362</v>
      </c>
      <c r="G81" s="1">
        <f t="shared" si="88"/>
        <v>0.80533577177023363</v>
      </c>
      <c r="H81" s="1">
        <f t="shared" si="88"/>
        <v>0.81533577177023364</v>
      </c>
      <c r="I81" s="1"/>
      <c r="J81" s="1">
        <f t="shared" si="84"/>
        <v>0.7653357717702336</v>
      </c>
      <c r="K81" s="1">
        <f t="shared" si="84"/>
        <v>0.78394365076685468</v>
      </c>
      <c r="L81" s="1">
        <f t="shared" si="84"/>
        <v>0.80255152976347577</v>
      </c>
      <c r="M81" s="1">
        <f t="shared" si="84"/>
        <v>0.82115940876009685</v>
      </c>
      <c r="N81" s="1">
        <f t="shared" si="84"/>
        <v>0.83976728775671794</v>
      </c>
      <c r="O81" s="1">
        <f t="shared" si="84"/>
        <v>0.85837516675333903</v>
      </c>
      <c r="P81" s="1"/>
      <c r="Q81" s="1">
        <f t="shared" si="85"/>
        <v>0.7653357717702336</v>
      </c>
      <c r="R81" s="1">
        <f t="shared" si="85"/>
        <v>0.77805260769409923</v>
      </c>
      <c r="S81" s="1">
        <f t="shared" si="85"/>
        <v>0.79089724994378163</v>
      </c>
      <c r="T81" s="1">
        <f t="shared" si="86"/>
        <v>0.80387098299420967</v>
      </c>
      <c r="U81" s="1">
        <f t="shared" si="86"/>
        <v>0.81697510422949993</v>
      </c>
      <c r="V81" s="1">
        <f t="shared" si="86"/>
        <v>0.83021092407269603</v>
      </c>
    </row>
    <row r="82" spans="1:22">
      <c r="A82" s="36">
        <v>2</v>
      </c>
      <c r="B82" s="36">
        <v>2.5</v>
      </c>
      <c r="C82" s="1">
        <f t="shared" si="87"/>
        <v>-0.14547850688033437</v>
      </c>
      <c r="D82" s="1">
        <f t="shared" si="88"/>
        <v>-0.13547850688033458</v>
      </c>
      <c r="E82" s="1">
        <f t="shared" si="88"/>
        <v>-0.12547850688033435</v>
      </c>
      <c r="F82" s="1">
        <f t="shared" si="88"/>
        <v>-0.11547850688033456</v>
      </c>
      <c r="G82" s="1">
        <f t="shared" si="88"/>
        <v>-0.10547850688033433</v>
      </c>
      <c r="H82" s="1">
        <f t="shared" si="88"/>
        <v>-9.5478506880334546E-2</v>
      </c>
      <c r="I82" s="1"/>
      <c r="J82" s="1">
        <f t="shared" si="84"/>
        <v>-0.14547850688033437</v>
      </c>
      <c r="K82" s="1">
        <f t="shared" si="84"/>
        <v>-0.11085319080504519</v>
      </c>
      <c r="L82" s="1">
        <f t="shared" si="84"/>
        <v>-7.6227874729756007E-2</v>
      </c>
      <c r="M82" s="1">
        <f t="shared" si="84"/>
        <v>-4.1602558654466826E-2</v>
      </c>
      <c r="N82" s="1">
        <f t="shared" si="84"/>
        <v>-6.9772425791772008E-3</v>
      </c>
      <c r="O82" s="1">
        <f t="shared" si="84"/>
        <v>2.764807349611198E-2</v>
      </c>
      <c r="P82" s="1"/>
      <c r="Q82" s="1">
        <f t="shared" si="85"/>
        <v>-0.14547850688033437</v>
      </c>
      <c r="R82" s="1">
        <f t="shared" si="85"/>
        <v>-9.7914017597519276E-2</v>
      </c>
      <c r="S82" s="1">
        <f t="shared" si="85"/>
        <v>-4.9388661893502661E-2</v>
      </c>
      <c r="T82" s="1">
        <f t="shared" si="86"/>
        <v>1.1697102100960421E-4</v>
      </c>
      <c r="U82" s="1">
        <f t="shared" si="86"/>
        <v>5.062268405926762E-2</v>
      </c>
      <c r="V82" s="1">
        <f t="shared" si="86"/>
        <v>0.10214868017990586</v>
      </c>
    </row>
    <row r="83" spans="1:22">
      <c r="A83" s="36">
        <v>3</v>
      </c>
      <c r="B83" s="36">
        <v>5.5</v>
      </c>
      <c r="C83" s="1">
        <f t="shared" si="87"/>
        <v>-1.1187348961085668</v>
      </c>
      <c r="D83" s="1">
        <f t="shared" si="88"/>
        <v>-1.108734896108567</v>
      </c>
      <c r="E83" s="1">
        <f t="shared" si="88"/>
        <v>-1.0987348961085672</v>
      </c>
      <c r="F83" s="1">
        <f t="shared" si="88"/>
        <v>-1.0887348961085666</v>
      </c>
      <c r="G83" s="1">
        <f t="shared" si="88"/>
        <v>-1.0787348961085668</v>
      </c>
      <c r="H83" s="1">
        <f t="shared" si="88"/>
        <v>-1.068734896108567</v>
      </c>
      <c r="I83" s="1"/>
      <c r="J83" s="1">
        <f t="shared" si="84"/>
        <v>-1.1187348961085668</v>
      </c>
      <c r="K83" s="1">
        <f t="shared" si="84"/>
        <v>-1.0543045269336924</v>
      </c>
      <c r="L83" s="1">
        <f t="shared" si="84"/>
        <v>-0.98987415775881793</v>
      </c>
      <c r="M83" s="1">
        <f t="shared" si="84"/>
        <v>-0.92544378858394438</v>
      </c>
      <c r="N83" s="1">
        <f t="shared" si="84"/>
        <v>-0.86101341940906995</v>
      </c>
      <c r="O83" s="1">
        <f t="shared" si="84"/>
        <v>-0.7965830502341964</v>
      </c>
      <c r="P83" s="1"/>
      <c r="Q83" s="1">
        <f t="shared" si="85"/>
        <v>-1.1187348961085668</v>
      </c>
      <c r="R83" s="1">
        <f t="shared" si="85"/>
        <v>-0.98530550924274607</v>
      </c>
      <c r="S83" s="1">
        <f t="shared" si="85"/>
        <v>-0.84781259258422459</v>
      </c>
      <c r="T83" s="1">
        <f t="shared" si="86"/>
        <v>-0.70613239322695609</v>
      </c>
      <c r="U83" s="1">
        <f t="shared" si="86"/>
        <v>-0.56013738942782254</v>
      </c>
      <c r="V83" s="1">
        <f t="shared" si="86"/>
        <v>-0.40969617582844453</v>
      </c>
    </row>
    <row r="84" spans="1:22">
      <c r="A84" s="36">
        <v>4</v>
      </c>
      <c r="B84" s="36">
        <v>9.4</v>
      </c>
      <c r="C84" s="1">
        <f t="shared" si="87"/>
        <v>-1.2473949094669727</v>
      </c>
      <c r="D84" s="1">
        <f t="shared" si="88"/>
        <v>-1.2373949094669729</v>
      </c>
      <c r="E84" s="1">
        <f t="shared" si="88"/>
        <v>-1.2273949094669732</v>
      </c>
      <c r="F84" s="1">
        <f t="shared" si="88"/>
        <v>-1.2173949094669734</v>
      </c>
      <c r="G84" s="1">
        <f t="shared" si="88"/>
        <v>-1.2073949094669736</v>
      </c>
      <c r="H84" s="1">
        <f t="shared" si="88"/>
        <v>-1.197394909466972</v>
      </c>
      <c r="I84" s="1"/>
      <c r="J84" s="1">
        <f t="shared" si="84"/>
        <v>-1.2473949094669727</v>
      </c>
      <c r="K84" s="1">
        <f t="shared" si="84"/>
        <v>-1.1275036581356055</v>
      </c>
      <c r="L84" s="1">
        <f t="shared" si="84"/>
        <v>-1.0076124068042365</v>
      </c>
      <c r="M84" s="1">
        <f t="shared" si="84"/>
        <v>-0.88772115547286923</v>
      </c>
      <c r="N84" s="1">
        <f t="shared" si="84"/>
        <v>-0.76782990414150021</v>
      </c>
      <c r="O84" s="1">
        <f t="shared" si="84"/>
        <v>-0.64793865281013296</v>
      </c>
      <c r="P84" s="1"/>
      <c r="Q84" s="1">
        <f t="shared" si="85"/>
        <v>-1.2473949094669727</v>
      </c>
      <c r="R84" s="1">
        <f t="shared" si="85"/>
        <v>-0.91468078403751285</v>
      </c>
      <c r="S84" s="1">
        <f t="shared" si="85"/>
        <v>-0.56838833756453688</v>
      </c>
      <c r="T84" s="1">
        <f t="shared" si="86"/>
        <v>-0.20796342825401837</v>
      </c>
      <c r="U84" s="1">
        <f t="shared" si="86"/>
        <v>0.16717070064368045</v>
      </c>
      <c r="V84" s="1">
        <f t="shared" si="86"/>
        <v>0.55761434376768193</v>
      </c>
    </row>
    <row r="85" spans="1:22">
      <c r="A85" s="36">
        <v>5</v>
      </c>
      <c r="B85" s="36">
        <v>15.2</v>
      </c>
      <c r="C85" s="1">
        <f t="shared" si="87"/>
        <v>-2.9731096812433577E-2</v>
      </c>
      <c r="D85" s="1">
        <f t="shared" si="88"/>
        <v>-1.973109681243379E-2</v>
      </c>
      <c r="E85" s="1">
        <f t="shared" si="88"/>
        <v>-9.7310968124340036E-3</v>
      </c>
      <c r="F85" s="1">
        <f t="shared" si="88"/>
        <v>2.6890318756578324E-4</v>
      </c>
      <c r="G85" s="1">
        <f t="shared" si="88"/>
        <v>1.026890318756557E-2</v>
      </c>
      <c r="H85" s="1">
        <f t="shared" si="88"/>
        <v>2.0268903187567133E-2</v>
      </c>
      <c r="I85" s="1"/>
      <c r="J85" s="1">
        <f t="shared" si="84"/>
        <v>-2.9731096812433577E-2</v>
      </c>
      <c r="K85" s="1">
        <f t="shared" si="84"/>
        <v>0.19336109294032511</v>
      </c>
      <c r="L85" s="1">
        <f t="shared" si="84"/>
        <v>0.41645328269308202</v>
      </c>
      <c r="M85" s="1">
        <f t="shared" si="84"/>
        <v>0.6395454724458407</v>
      </c>
      <c r="N85" s="1">
        <f t="shared" si="84"/>
        <v>0.86263766219860116</v>
      </c>
      <c r="O85" s="1">
        <f t="shared" si="84"/>
        <v>1.0857298519513598</v>
      </c>
      <c r="P85" s="1"/>
      <c r="Q85" s="1">
        <f t="shared" si="85"/>
        <v>-2.9731096812433577E-2</v>
      </c>
      <c r="R85" s="1">
        <f t="shared" si="85"/>
        <v>0.74806522217309812</v>
      </c>
      <c r="S85" s="1">
        <f t="shared" si="85"/>
        <v>1.5657400111902504</v>
      </c>
      <c r="T85" s="1">
        <f t="shared" si="86"/>
        <v>2.4253378831193437</v>
      </c>
      <c r="U85" s="1">
        <f t="shared" si="86"/>
        <v>3.3290082803847483</v>
      </c>
      <c r="V85" s="1">
        <f t="shared" si="86"/>
        <v>4.2790108496805104</v>
      </c>
    </row>
    <row r="87" spans="1:22">
      <c r="A87" t="s">
        <v>94</v>
      </c>
      <c r="C87" s="1">
        <f>AVERAGE(C81:C85)</f>
        <v>-0.35520072749961479</v>
      </c>
      <c r="D87" s="1">
        <f t="shared" ref="D87:H87" si="89">AVERAGE(D81:D85)</f>
        <v>-0.34520072749961495</v>
      </c>
      <c r="E87" s="1">
        <f t="shared" si="89"/>
        <v>-0.33520072749961505</v>
      </c>
      <c r="F87" s="1">
        <f t="shared" si="89"/>
        <v>-0.32520072749961504</v>
      </c>
      <c r="G87" s="1">
        <f t="shared" si="89"/>
        <v>-0.31520072749961509</v>
      </c>
      <c r="H87" s="1">
        <f t="shared" si="89"/>
        <v>-0.30520072749961458</v>
      </c>
      <c r="I87" s="1"/>
      <c r="J87" s="1">
        <f t="shared" ref="J87:O87" si="90">AVERAGE(J81:J85)</f>
        <v>-0.35520072749961479</v>
      </c>
      <c r="K87" s="1">
        <f t="shared" si="90"/>
        <v>-0.26307132643343267</v>
      </c>
      <c r="L87" s="1">
        <f t="shared" si="90"/>
        <v>-0.17094192536725053</v>
      </c>
      <c r="M87" s="1">
        <f t="shared" si="90"/>
        <v>-7.8812524301068582E-2</v>
      </c>
      <c r="N87" s="1">
        <f t="shared" si="90"/>
        <v>1.3316876765114349E-2</v>
      </c>
      <c r="O87" s="1">
        <f t="shared" si="90"/>
        <v>0.1054462778312963</v>
      </c>
      <c r="P87" s="1"/>
      <c r="Q87" s="1">
        <f t="shared" ref="Q87:V87" si="91">AVERAGE(Q81:Q85)</f>
        <v>-0.35520072749961479</v>
      </c>
      <c r="R87" s="1">
        <f t="shared" si="91"/>
        <v>-9.4356496202116169E-2</v>
      </c>
      <c r="S87" s="1">
        <f t="shared" si="91"/>
        <v>0.17820953381835358</v>
      </c>
      <c r="T87" s="1">
        <f t="shared" si="91"/>
        <v>0.46304600313071764</v>
      </c>
      <c r="U87" s="1">
        <f t="shared" si="91"/>
        <v>0.76072787597787472</v>
      </c>
      <c r="V87" s="1">
        <f t="shared" si="91"/>
        <v>1.0718577243744698</v>
      </c>
    </row>
    <row r="88" spans="1:22">
      <c r="A88" t="s">
        <v>491</v>
      </c>
      <c r="C88">
        <f>STDEVP(C81:C85)</f>
        <v>0.74625877837206378</v>
      </c>
      <c r="D88">
        <f t="shared" ref="D88:H88" si="92">STDEVP(D81:D85)</f>
        <v>0.746258778372064</v>
      </c>
      <c r="E88">
        <f t="shared" si="92"/>
        <v>0.74625877837206411</v>
      </c>
      <c r="F88">
        <f t="shared" si="92"/>
        <v>0.74625877837206389</v>
      </c>
      <c r="G88">
        <f t="shared" si="92"/>
        <v>0.746258778372064</v>
      </c>
      <c r="H88">
        <f t="shared" si="92"/>
        <v>0.74625877837206378</v>
      </c>
      <c r="J88">
        <f t="shared" ref="J88:O88" si="93">STDEVP(J81:J85)</f>
        <v>0.74625877837206378</v>
      </c>
      <c r="K88">
        <f t="shared" si="93"/>
        <v>0.73498768838902628</v>
      </c>
      <c r="L88">
        <f t="shared" si="93"/>
        <v>0.73107604047466868</v>
      </c>
      <c r="M88">
        <f t="shared" si="93"/>
        <v>0.73464140157997648</v>
      </c>
      <c r="N88">
        <f t="shared" si="93"/>
        <v>0.74557651382085643</v>
      </c>
      <c r="O88">
        <f t="shared" si="93"/>
        <v>0.76356481328943415</v>
      </c>
      <c r="Q88">
        <f t="shared" ref="Q88:V88" si="94">STDEVP(Q81:Q85)</f>
        <v>0.74625877837206378</v>
      </c>
      <c r="R88">
        <f t="shared" si="94"/>
        <v>0.76648636428320738</v>
      </c>
      <c r="S88">
        <f t="shared" si="94"/>
        <v>0.89023118202400675</v>
      </c>
      <c r="T88">
        <f t="shared" si="94"/>
        <v>1.0952886521328562</v>
      </c>
      <c r="U88">
        <f t="shared" si="94"/>
        <v>1.3565008322652852</v>
      </c>
      <c r="V88">
        <f t="shared" si="94"/>
        <v>1.6579510360293208</v>
      </c>
    </row>
    <row r="89" spans="1:22">
      <c r="C89" s="5" t="str">
        <f>IF(C88=MIN($C$88:$V$88),"LAAGSTE","")</f>
        <v/>
      </c>
      <c r="D89" s="5" t="str">
        <f t="shared" ref="D89:V89" si="95">IF(D88=MIN($C$88:$V$88),"LAAGSTE","")</f>
        <v/>
      </c>
      <c r="E89" s="5" t="str">
        <f t="shared" si="95"/>
        <v/>
      </c>
      <c r="F89" s="5" t="str">
        <f t="shared" si="95"/>
        <v/>
      </c>
      <c r="G89" s="5" t="str">
        <f t="shared" si="95"/>
        <v/>
      </c>
      <c r="H89" s="5" t="str">
        <f t="shared" si="95"/>
        <v/>
      </c>
      <c r="I89" s="5" t="str">
        <f t="shared" si="95"/>
        <v/>
      </c>
      <c r="J89" s="5" t="str">
        <f t="shared" si="95"/>
        <v/>
      </c>
      <c r="K89" s="5" t="str">
        <f t="shared" si="95"/>
        <v/>
      </c>
      <c r="L89" s="5" t="str">
        <f t="shared" si="95"/>
        <v>LAAGSTE</v>
      </c>
      <c r="M89" s="5" t="str">
        <f t="shared" si="95"/>
        <v/>
      </c>
      <c r="N89" s="5" t="str">
        <f t="shared" si="95"/>
        <v/>
      </c>
      <c r="O89" s="5" t="str">
        <f t="shared" si="95"/>
        <v/>
      </c>
      <c r="P89" s="5" t="str">
        <f t="shared" si="95"/>
        <v/>
      </c>
      <c r="Q89" s="5" t="str">
        <f t="shared" si="95"/>
        <v/>
      </c>
      <c r="R89" s="5" t="str">
        <f t="shared" si="95"/>
        <v/>
      </c>
      <c r="S89" s="5" t="str">
        <f t="shared" si="95"/>
        <v/>
      </c>
      <c r="T89" s="5" t="str">
        <f t="shared" si="95"/>
        <v/>
      </c>
      <c r="U89" s="5" t="str">
        <f t="shared" si="95"/>
        <v/>
      </c>
      <c r="V89" s="5" t="str">
        <f t="shared" si="95"/>
        <v/>
      </c>
    </row>
    <row r="91" spans="1:22">
      <c r="J91" s="14" t="s">
        <v>756</v>
      </c>
    </row>
    <row r="92" spans="1:22">
      <c r="J92" s="2" t="s">
        <v>875</v>
      </c>
    </row>
    <row r="93" spans="1:22">
      <c r="A93" s="4" t="s">
        <v>765</v>
      </c>
      <c r="J93" s="2"/>
    </row>
    <row r="95" spans="1:22">
      <c r="A95" s="36"/>
      <c r="B95" s="36" t="s">
        <v>4</v>
      </c>
      <c r="C95" t="s">
        <v>760</v>
      </c>
      <c r="F95" t="s">
        <v>758</v>
      </c>
      <c r="H95" t="s">
        <v>759</v>
      </c>
    </row>
    <row r="96" spans="1:22">
      <c r="A96" s="36">
        <v>0</v>
      </c>
      <c r="B96" s="36">
        <v>1</v>
      </c>
      <c r="C96">
        <f t="shared" ref="C96:C101" si="96">0.31361+0.57*A96^2.02</f>
        <v>0.31361</v>
      </c>
      <c r="F96">
        <f xml:space="preserve"> 0.6 * A96^2.01</f>
        <v>0</v>
      </c>
      <c r="H96">
        <f xml:space="preserve"> 0.17 + 0.7*EXP(0.621*A96)</f>
        <v>0.87</v>
      </c>
    </row>
    <row r="97" spans="1:8">
      <c r="A97" s="36">
        <v>1</v>
      </c>
      <c r="B97" s="36">
        <v>0.5</v>
      </c>
      <c r="C97">
        <f t="shared" si="96"/>
        <v>0.88361000000000001</v>
      </c>
      <c r="F97">
        <f t="shared" ref="F97:F101" si="97" xml:space="preserve"> 0.6 * A97^2.01</f>
        <v>0.6</v>
      </c>
      <c r="H97">
        <f t="shared" ref="H97:H101" si="98" xml:space="preserve"> 0.17 + 0.7*EXP(0.621*A97)</f>
        <v>1.4725515297634755</v>
      </c>
    </row>
    <row r="98" spans="1:8">
      <c r="A98" s="36">
        <v>2</v>
      </c>
      <c r="B98" s="36">
        <v>2.5</v>
      </c>
      <c r="C98">
        <f t="shared" si="96"/>
        <v>2.6254376139212665</v>
      </c>
      <c r="F98">
        <f t="shared" si="97"/>
        <v>2.4166933201361247</v>
      </c>
      <c r="H98">
        <f t="shared" si="98"/>
        <v>2.5937721252702435</v>
      </c>
    </row>
    <row r="99" spans="1:8">
      <c r="A99" s="36">
        <v>3</v>
      </c>
      <c r="B99" s="36">
        <v>5.5</v>
      </c>
      <c r="C99">
        <f t="shared" si="96"/>
        <v>5.5575750701185891</v>
      </c>
      <c r="F99">
        <f t="shared" si="97"/>
        <v>5.4596521364644088</v>
      </c>
      <c r="H99">
        <f t="shared" si="98"/>
        <v>4.6801258422411811</v>
      </c>
    </row>
    <row r="100" spans="1:8">
      <c r="A100" s="36">
        <v>4</v>
      </c>
      <c r="B100" s="36">
        <v>9.4</v>
      </c>
      <c r="C100">
        <f t="shared" si="96"/>
        <v>9.6900080991033271</v>
      </c>
      <c r="F100">
        <f t="shared" si="97"/>
        <v>9.734011005984275</v>
      </c>
      <c r="H100">
        <f t="shared" si="98"/>
        <v>8.562387593195762</v>
      </c>
    </row>
    <row r="101" spans="1:8">
      <c r="A101" s="36">
        <v>5</v>
      </c>
      <c r="B101" s="36">
        <v>15.2</v>
      </c>
      <c r="C101">
        <f t="shared" si="96"/>
        <v>15.029761983524313</v>
      </c>
      <c r="F101">
        <f t="shared" si="97"/>
        <v>15.243368869009876</v>
      </c>
      <c r="H101">
        <f t="shared" si="98"/>
        <v>15.786453282693079</v>
      </c>
    </row>
    <row r="104" spans="1:8">
      <c r="A104" s="4" t="s">
        <v>824</v>
      </c>
    </row>
    <row r="106" spans="1:8">
      <c r="B106" s="2" t="s">
        <v>761</v>
      </c>
    </row>
    <row r="107" spans="1:8">
      <c r="B107" s="2" t="s">
        <v>762</v>
      </c>
    </row>
    <row r="109" spans="1:8" ht="16.2">
      <c r="B109" s="14" t="s">
        <v>763</v>
      </c>
      <c r="D109" s="2" t="s">
        <v>906</v>
      </c>
    </row>
    <row r="111" spans="1:8">
      <c r="B111" s="2" t="s">
        <v>767</v>
      </c>
    </row>
    <row r="112" spans="1:8">
      <c r="B112" s="2" t="s">
        <v>768</v>
      </c>
    </row>
    <row r="113" spans="1:2">
      <c r="B113" s="2" t="s">
        <v>766</v>
      </c>
    </row>
    <row r="116" spans="1:2">
      <c r="A116" s="2" t="s">
        <v>958</v>
      </c>
    </row>
    <row r="118" spans="1:2">
      <c r="A118" s="2" t="s">
        <v>937</v>
      </c>
    </row>
  </sheetData>
  <conditionalFormatting sqref="C54:V54 C35:V35 C75:V75">
    <cfRule type="containsText" dxfId="10" priority="43" operator="containsText" text="BESTE?">
      <formula>NOT(ISERROR(SEARCH("BESTE?",C35)))</formula>
    </cfRule>
    <cfRule type="cellIs" dxfId="9" priority="45" operator="equal">
      <formula>"""BESTE?"""</formula>
    </cfRule>
    <cfRule type="cellIs" dxfId="8" priority="46" operator="equal">
      <formula>"""BESTE ?"""</formula>
    </cfRule>
  </conditionalFormatting>
  <conditionalFormatting sqref="C54:V54 C68:V68 C49:V50 C35:V35 C75:V75 C89:V89">
    <cfRule type="containsText" dxfId="7" priority="44" operator="containsText" text="&quot;BESTE?&quot;">
      <formula>NOT(ISERROR(SEARCH("""BESTE?""",C35)))</formula>
    </cfRule>
  </conditionalFormatting>
  <conditionalFormatting sqref="C95:C101 C67:V67 C48:V48 C51:V51 C88:V88 C27:H27 J27">
    <cfRule type="cellIs" dxfId="6" priority="41" operator="equal">
      <formula>"min($C$15:$V$15)"</formula>
    </cfRule>
  </conditionalFormatting>
  <conditionalFormatting sqref="C27:H27 J27">
    <cfRule type="cellIs" dxfId="5" priority="38" operator="equal">
      <formula>$C$28</formula>
    </cfRule>
  </conditionalFormatting>
  <conditionalFormatting sqref="C68:V68 C49:V50 C89:V89">
    <cfRule type="containsText" dxfId="4" priority="26" operator="containsText" text="LAAGSTE">
      <formula>NOT(ISERROR(SEARCH("LAAGSTE",C49)))</formula>
    </cfRule>
    <cfRule type="containsText" dxfId="3" priority="28" operator="containsText" text="BESTE?">
      <formula>NOT(ISERROR(SEARCH("BESTE?",C49)))</formula>
    </cfRule>
    <cfRule type="cellIs" dxfId="2" priority="29" operator="equal">
      <formula>"""BESTE?"""</formula>
    </cfRule>
    <cfRule type="cellIs" dxfId="1" priority="30" operator="equal">
      <formula>"""BESTE ?"""</formula>
    </cfRule>
  </conditionalFormatting>
  <conditionalFormatting sqref="C68:V68 C89:V89">
    <cfRule type="containsText" dxfId="0" priority="15" operator="containsText" text="LAAGSTE">
      <formula>NOT(ISERROR(SEARCH("LAAGSTE",C68)))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98"/>
  <sheetViews>
    <sheetView workbookViewId="0">
      <selection activeCell="P82" sqref="P82"/>
    </sheetView>
  </sheetViews>
  <sheetFormatPr defaultColWidth="9.109375" defaultRowHeight="14.4"/>
  <cols>
    <col min="1" max="2" width="9.109375" style="2"/>
    <col min="3" max="3" width="12.33203125" style="2" customWidth="1"/>
    <col min="4" max="7" width="9.109375" style="2"/>
    <col min="8" max="8" width="12.33203125" style="2" customWidth="1"/>
    <col min="9" max="16384" width="9.109375" style="2"/>
  </cols>
  <sheetData>
    <row r="1" spans="1:4">
      <c r="A1" s="4" t="s">
        <v>924</v>
      </c>
      <c r="D1" s="2" t="s">
        <v>964</v>
      </c>
    </row>
    <row r="3" spans="1:4">
      <c r="A3" s="2" t="s">
        <v>925</v>
      </c>
    </row>
    <row r="4" spans="1:4">
      <c r="A4" s="2" t="s">
        <v>907</v>
      </c>
    </row>
    <row r="5" spans="1:4">
      <c r="A5" s="2" t="s">
        <v>908</v>
      </c>
    </row>
    <row r="7" spans="1:4">
      <c r="A7" s="2" t="s">
        <v>942</v>
      </c>
    </row>
    <row r="8" spans="1:4">
      <c r="A8" s="2" t="s">
        <v>943</v>
      </c>
    </row>
    <row r="9" spans="1:4">
      <c r="A9" s="2" t="s">
        <v>944</v>
      </c>
    </row>
    <row r="10" spans="1:4">
      <c r="A10" s="2" t="s">
        <v>945</v>
      </c>
    </row>
    <row r="11" spans="1:4">
      <c r="A11" s="2" t="s">
        <v>955</v>
      </c>
    </row>
    <row r="13" spans="1:4">
      <c r="A13" s="4" t="s">
        <v>909</v>
      </c>
    </row>
    <row r="14" spans="1:4">
      <c r="C14" s="2" t="s">
        <v>930</v>
      </c>
    </row>
    <row r="15" spans="1:4">
      <c r="C15" s="5" t="s">
        <v>1</v>
      </c>
      <c r="D15" s="5">
        <v>1</v>
      </c>
    </row>
    <row r="16" spans="1:4">
      <c r="A16" s="2" t="s">
        <v>910</v>
      </c>
      <c r="C16" s="5" t="s">
        <v>2</v>
      </c>
      <c r="D16" s="5">
        <v>0</v>
      </c>
    </row>
    <row r="17" spans="1:9">
      <c r="A17" s="63"/>
      <c r="B17" s="63" t="s">
        <v>4</v>
      </c>
      <c r="C17" s="5" t="s">
        <v>911</v>
      </c>
      <c r="D17" s="5" t="s">
        <v>912</v>
      </c>
    </row>
    <row r="18" spans="1:9">
      <c r="A18" s="64">
        <v>0</v>
      </c>
      <c r="B18" s="64"/>
      <c r="C18" s="5"/>
      <c r="D18" s="5"/>
      <c r="F18" s="189" t="s">
        <v>913</v>
      </c>
    </row>
    <row r="19" spans="1:9">
      <c r="A19" s="64">
        <v>1</v>
      </c>
      <c r="B19" s="64">
        <v>3</v>
      </c>
      <c r="C19" s="5">
        <f t="shared" ref="C19:C28" si="0">$D$15*A19+$D$16</f>
        <v>1</v>
      </c>
      <c r="D19" s="5">
        <f t="shared" ref="D19:D28" si="1">C19-B19</f>
        <v>-2</v>
      </c>
      <c r="F19" s="2" t="s">
        <v>914</v>
      </c>
      <c r="I19" s="2" t="s">
        <v>919</v>
      </c>
    </row>
    <row r="20" spans="1:9">
      <c r="A20" s="65">
        <v>2</v>
      </c>
      <c r="B20" s="65">
        <v>2</v>
      </c>
      <c r="C20" s="5">
        <f t="shared" si="0"/>
        <v>2</v>
      </c>
      <c r="D20" s="5">
        <f t="shared" si="1"/>
        <v>0</v>
      </c>
      <c r="F20" s="2" t="s">
        <v>920</v>
      </c>
    </row>
    <row r="21" spans="1:9">
      <c r="A21" s="65">
        <v>3</v>
      </c>
      <c r="B21" s="65">
        <v>5</v>
      </c>
      <c r="C21" s="5">
        <f t="shared" si="0"/>
        <v>3</v>
      </c>
      <c r="D21" s="5">
        <f t="shared" si="1"/>
        <v>-2</v>
      </c>
      <c r="F21" s="2" t="s">
        <v>921</v>
      </c>
    </row>
    <row r="22" spans="1:9">
      <c r="A22" s="65">
        <v>4</v>
      </c>
      <c r="B22" s="65">
        <v>7</v>
      </c>
      <c r="C22" s="5">
        <f t="shared" si="0"/>
        <v>4</v>
      </c>
      <c r="D22" s="5">
        <f t="shared" si="1"/>
        <v>-3</v>
      </c>
      <c r="F22" s="2" t="s">
        <v>915</v>
      </c>
    </row>
    <row r="23" spans="1:9">
      <c r="A23" s="65">
        <v>5</v>
      </c>
      <c r="B23" s="65">
        <v>4</v>
      </c>
      <c r="C23" s="5">
        <f t="shared" si="0"/>
        <v>5</v>
      </c>
      <c r="D23" s="5">
        <f t="shared" si="1"/>
        <v>1</v>
      </c>
      <c r="F23" s="2" t="s">
        <v>916</v>
      </c>
    </row>
    <row r="24" spans="1:9">
      <c r="A24" s="65">
        <v>6</v>
      </c>
      <c r="B24" s="65">
        <v>8</v>
      </c>
      <c r="C24" s="5">
        <f t="shared" si="0"/>
        <v>6</v>
      </c>
      <c r="D24" s="5">
        <f t="shared" si="1"/>
        <v>-2</v>
      </c>
      <c r="F24" s="2" t="s">
        <v>918</v>
      </c>
    </row>
    <row r="25" spans="1:9">
      <c r="A25" s="65">
        <v>7</v>
      </c>
      <c r="B25" s="65">
        <v>5</v>
      </c>
      <c r="C25" s="5">
        <f t="shared" si="0"/>
        <v>7</v>
      </c>
      <c r="D25" s="5">
        <f t="shared" si="1"/>
        <v>2</v>
      </c>
      <c r="F25" s="2" t="s">
        <v>922</v>
      </c>
    </row>
    <row r="26" spans="1:9">
      <c r="A26" s="65">
        <v>8</v>
      </c>
      <c r="B26" s="65">
        <v>7</v>
      </c>
      <c r="C26" s="5">
        <f t="shared" si="0"/>
        <v>8</v>
      </c>
      <c r="D26" s="5">
        <f t="shared" si="1"/>
        <v>1</v>
      </c>
      <c r="F26" s="2" t="s">
        <v>917</v>
      </c>
    </row>
    <row r="27" spans="1:9">
      <c r="A27" s="65">
        <v>9</v>
      </c>
      <c r="B27" s="65">
        <v>11</v>
      </c>
      <c r="C27" s="5">
        <f t="shared" si="0"/>
        <v>9</v>
      </c>
      <c r="D27" s="5">
        <f t="shared" si="1"/>
        <v>-2</v>
      </c>
      <c r="F27" s="2" t="s">
        <v>923</v>
      </c>
    </row>
    <row r="28" spans="1:9">
      <c r="A28" s="66">
        <v>10</v>
      </c>
      <c r="B28" s="66">
        <v>9</v>
      </c>
      <c r="C28" s="5">
        <f t="shared" si="0"/>
        <v>10</v>
      </c>
      <c r="D28" s="5">
        <f t="shared" si="1"/>
        <v>1</v>
      </c>
    </row>
    <row r="29" spans="1:9">
      <c r="A29" s="5"/>
      <c r="B29" s="5"/>
      <c r="C29" s="5"/>
      <c r="D29" s="5"/>
    </row>
    <row r="30" spans="1:9">
      <c r="A30" s="5" t="s">
        <v>119</v>
      </c>
      <c r="B30" s="190" t="s">
        <v>987</v>
      </c>
      <c r="C30" s="5"/>
      <c r="D30" s="5">
        <f>AVERAGE(D19:D28)</f>
        <v>-0.6</v>
      </c>
    </row>
    <row r="31" spans="1:9">
      <c r="B31" s="190" t="s">
        <v>988</v>
      </c>
      <c r="C31" s="5"/>
      <c r="D31" s="5">
        <f>STDEVP(D19:D28)</f>
        <v>1.6852299546352716</v>
      </c>
    </row>
    <row r="33" spans="1:9">
      <c r="A33" s="4" t="s">
        <v>926</v>
      </c>
    </row>
    <row r="34" spans="1:9">
      <c r="C34" s="2" t="s">
        <v>930</v>
      </c>
    </row>
    <row r="35" spans="1:9">
      <c r="C35" s="5" t="s">
        <v>1</v>
      </c>
      <c r="D35" s="5">
        <v>0.75757566956599576</v>
      </c>
      <c r="F35" s="14" t="s">
        <v>927</v>
      </c>
    </row>
    <row r="36" spans="1:9">
      <c r="A36" s="2" t="s">
        <v>910</v>
      </c>
      <c r="C36" s="5" t="s">
        <v>2</v>
      </c>
      <c r="D36" s="5">
        <v>1.9333333327422233</v>
      </c>
      <c r="F36" s="2" t="s">
        <v>960</v>
      </c>
    </row>
    <row r="37" spans="1:9">
      <c r="A37" s="63"/>
      <c r="B37" s="63" t="s">
        <v>4</v>
      </c>
      <c r="C37" s="5" t="s">
        <v>911</v>
      </c>
      <c r="D37" s="5" t="s">
        <v>912</v>
      </c>
    </row>
    <row r="38" spans="1:9">
      <c r="A38" s="64">
        <v>0</v>
      </c>
      <c r="B38" s="64"/>
      <c r="F38" s="189" t="s">
        <v>913</v>
      </c>
    </row>
    <row r="39" spans="1:9">
      <c r="A39" s="64">
        <v>1</v>
      </c>
      <c r="B39" s="64">
        <v>3</v>
      </c>
      <c r="C39" s="5">
        <v>2.6909090023082189</v>
      </c>
      <c r="D39" s="5">
        <v>-0.30909099769178106</v>
      </c>
      <c r="F39" s="2" t="s">
        <v>914</v>
      </c>
      <c r="I39" s="2" t="s">
        <v>919</v>
      </c>
    </row>
    <row r="40" spans="1:9">
      <c r="A40" s="65">
        <v>2</v>
      </c>
      <c r="B40" s="65">
        <v>2</v>
      </c>
      <c r="C40" s="5">
        <v>3.4484846718742146</v>
      </c>
      <c r="D40" s="5">
        <v>1.4484846718742146</v>
      </c>
      <c r="F40" s="2" t="s">
        <v>920</v>
      </c>
    </row>
    <row r="41" spans="1:9">
      <c r="A41" s="65">
        <v>3</v>
      </c>
      <c r="B41" s="65">
        <v>5</v>
      </c>
      <c r="C41" s="5">
        <v>4.2060603414402102</v>
      </c>
      <c r="D41" s="5">
        <v>-0.79393965855978976</v>
      </c>
      <c r="F41" s="2" t="s">
        <v>921</v>
      </c>
    </row>
    <row r="42" spans="1:9">
      <c r="A42" s="65">
        <v>4</v>
      </c>
      <c r="B42" s="65">
        <v>7</v>
      </c>
      <c r="C42" s="5">
        <v>4.9636360110062068</v>
      </c>
      <c r="D42" s="5">
        <v>-2.0363639889937932</v>
      </c>
      <c r="F42" s="2" t="s">
        <v>915</v>
      </c>
    </row>
    <row r="43" spans="1:9">
      <c r="A43" s="65">
        <v>5</v>
      </c>
      <c r="B43" s="65">
        <v>4</v>
      </c>
      <c r="C43" s="5">
        <v>5.7212116805722015</v>
      </c>
      <c r="D43" s="5">
        <v>1.7212116805722015</v>
      </c>
      <c r="F43" s="2" t="s">
        <v>916</v>
      </c>
    </row>
    <row r="44" spans="1:9">
      <c r="A44" s="65">
        <v>6</v>
      </c>
      <c r="B44" s="65">
        <v>8</v>
      </c>
      <c r="C44" s="5">
        <v>6.4787873501381981</v>
      </c>
      <c r="D44" s="5">
        <v>-1.5212126498618019</v>
      </c>
      <c r="F44" s="2" t="s">
        <v>918</v>
      </c>
    </row>
    <row r="45" spans="1:9">
      <c r="A45" s="65">
        <v>7</v>
      </c>
      <c r="B45" s="65">
        <v>5</v>
      </c>
      <c r="C45" s="5">
        <v>7.2363630197041937</v>
      </c>
      <c r="D45" s="5">
        <v>2.2363630197041937</v>
      </c>
      <c r="F45" s="2" t="s">
        <v>922</v>
      </c>
    </row>
    <row r="46" spans="1:9">
      <c r="A46" s="65">
        <v>8</v>
      </c>
      <c r="B46" s="65">
        <v>7</v>
      </c>
      <c r="C46" s="5">
        <v>7.9939386892701894</v>
      </c>
      <c r="D46" s="5">
        <v>0.99393868927018936</v>
      </c>
      <c r="F46" s="2" t="s">
        <v>917</v>
      </c>
    </row>
    <row r="47" spans="1:9">
      <c r="A47" s="65">
        <v>9</v>
      </c>
      <c r="B47" s="65">
        <v>11</v>
      </c>
      <c r="C47" s="5">
        <v>8.7515143588361859</v>
      </c>
      <c r="D47" s="5">
        <v>-2.2484856411638141</v>
      </c>
      <c r="F47" s="2" t="s">
        <v>923</v>
      </c>
    </row>
    <row r="48" spans="1:9">
      <c r="A48" s="66">
        <v>10</v>
      </c>
      <c r="B48" s="66">
        <v>9</v>
      </c>
      <c r="C48" s="5">
        <v>9.5090900284021806</v>
      </c>
      <c r="D48" s="5">
        <v>0.50909002840218065</v>
      </c>
    </row>
    <row r="49" spans="1:7">
      <c r="A49" s="5"/>
      <c r="B49" s="5"/>
      <c r="C49" s="5"/>
      <c r="D49" s="5"/>
    </row>
    <row r="50" spans="1:7">
      <c r="A50" s="5" t="s">
        <v>119</v>
      </c>
      <c r="B50" s="188" t="s">
        <v>987</v>
      </c>
      <c r="C50" s="5"/>
      <c r="D50" s="5">
        <v>-4.846448000250803E-7</v>
      </c>
      <c r="F50" s="14" t="s">
        <v>928</v>
      </c>
    </row>
    <row r="51" spans="1:7">
      <c r="B51" s="188" t="s">
        <v>988</v>
      </c>
      <c r="C51" s="5"/>
      <c r="D51" s="5">
        <v>1.5346502908322726</v>
      </c>
      <c r="F51" s="14" t="s">
        <v>929</v>
      </c>
    </row>
    <row r="52" spans="1:7">
      <c r="A52" s="14" t="s">
        <v>950</v>
      </c>
    </row>
    <row r="53" spans="1:7">
      <c r="A53" s="14" t="s">
        <v>951</v>
      </c>
    </row>
    <row r="54" spans="1:7">
      <c r="A54" s="14" t="s">
        <v>952</v>
      </c>
    </row>
    <row r="55" spans="1:7">
      <c r="A55" s="14" t="s">
        <v>959</v>
      </c>
    </row>
    <row r="57" spans="1:7">
      <c r="B57"/>
    </row>
    <row r="58" spans="1:7">
      <c r="A58" s="4" t="s">
        <v>749</v>
      </c>
      <c r="E58" s="11" t="s">
        <v>728</v>
      </c>
      <c r="F58"/>
    </row>
    <row r="59" spans="1:7">
      <c r="A59"/>
      <c r="E59" s="5" t="s">
        <v>1</v>
      </c>
      <c r="F59" s="5">
        <v>1</v>
      </c>
    </row>
    <row r="60" spans="1:7">
      <c r="C60" s="2" t="s">
        <v>946</v>
      </c>
      <c r="E60" s="5" t="s">
        <v>2</v>
      </c>
      <c r="F60" s="5">
        <v>1</v>
      </c>
    </row>
    <row r="61" spans="1:7">
      <c r="C61" s="2" t="s">
        <v>910</v>
      </c>
      <c r="E61" s="5" t="s">
        <v>325</v>
      </c>
      <c r="F61" s="5">
        <v>1</v>
      </c>
    </row>
    <row r="62" spans="1:7">
      <c r="A62" s="36" t="s">
        <v>42</v>
      </c>
      <c r="B62" s="36" t="s">
        <v>4</v>
      </c>
    </row>
    <row r="63" spans="1:7">
      <c r="A63" s="36">
        <v>0</v>
      </c>
      <c r="B63" s="36">
        <v>1</v>
      </c>
      <c r="E63" s="5"/>
      <c r="F63" s="5"/>
      <c r="G63" s="2" t="s">
        <v>931</v>
      </c>
    </row>
    <row r="64" spans="1:7">
      <c r="A64" s="36">
        <v>1</v>
      </c>
      <c r="B64" s="36">
        <v>0.5</v>
      </c>
      <c r="C64" s="5">
        <f>A64</f>
        <v>1</v>
      </c>
      <c r="D64" s="5">
        <f t="shared" ref="D64:D68" si="2">B64</f>
        <v>0.5</v>
      </c>
      <c r="E64" s="5">
        <f>$F$59+$F$60*A64^$F$61</f>
        <v>2</v>
      </c>
      <c r="F64" s="5">
        <f>E64-B64</f>
        <v>1.5</v>
      </c>
    </row>
    <row r="65" spans="1:9">
      <c r="A65" s="36">
        <v>2</v>
      </c>
      <c r="B65" s="36">
        <v>2.5</v>
      </c>
      <c r="C65" s="5">
        <f>A65</f>
        <v>2</v>
      </c>
      <c r="D65" s="5">
        <f t="shared" si="2"/>
        <v>2.5</v>
      </c>
      <c r="E65" s="5">
        <f>$F$59+$F$60*A65^$F$61</f>
        <v>3</v>
      </c>
      <c r="F65" s="5">
        <f>E65-B65</f>
        <v>0.5</v>
      </c>
      <c r="G65" s="2" t="s">
        <v>947</v>
      </c>
    </row>
    <row r="66" spans="1:9">
      <c r="A66" s="36">
        <v>3</v>
      </c>
      <c r="B66" s="36">
        <v>5.5</v>
      </c>
      <c r="C66" s="5">
        <f>A66</f>
        <v>3</v>
      </c>
      <c r="D66" s="5">
        <f t="shared" si="2"/>
        <v>5.5</v>
      </c>
      <c r="E66" s="5">
        <f>$F$59+$F$60*A66^$F$61</f>
        <v>4</v>
      </c>
      <c r="F66" s="5">
        <f>E66-B66</f>
        <v>-1.5</v>
      </c>
      <c r="G66" s="2" t="s">
        <v>948</v>
      </c>
    </row>
    <row r="67" spans="1:9">
      <c r="A67" s="36">
        <v>4</v>
      </c>
      <c r="B67" s="36">
        <v>9.4</v>
      </c>
      <c r="C67" s="5">
        <f>A67</f>
        <v>4</v>
      </c>
      <c r="D67" s="5">
        <f t="shared" si="2"/>
        <v>9.4</v>
      </c>
      <c r="E67" s="5">
        <f>$F$59+$F$60*A67^$F$61</f>
        <v>5</v>
      </c>
      <c r="F67" s="5">
        <f>E67-B67</f>
        <v>-4.4000000000000004</v>
      </c>
      <c r="G67" s="2" t="s">
        <v>949</v>
      </c>
    </row>
    <row r="68" spans="1:9">
      <c r="A68" s="36">
        <v>5</v>
      </c>
      <c r="B68" s="36">
        <v>15.2</v>
      </c>
      <c r="C68" s="5">
        <f>A68</f>
        <v>5</v>
      </c>
      <c r="D68" s="5">
        <f t="shared" si="2"/>
        <v>15.2</v>
      </c>
      <c r="E68" s="5">
        <f>$F$59+$F$60*A68^$F$61</f>
        <v>6</v>
      </c>
      <c r="F68" s="5">
        <f>E68-B68</f>
        <v>-9.1999999999999993</v>
      </c>
    </row>
    <row r="70" spans="1:9">
      <c r="B70" s="5" t="s">
        <v>119</v>
      </c>
      <c r="E70" s="55" t="s">
        <v>989</v>
      </c>
      <c r="F70" s="5">
        <f>AVERAGE(F64:F68)</f>
        <v>-2.62</v>
      </c>
    </row>
    <row r="71" spans="1:9">
      <c r="E71" s="55" t="s">
        <v>990</v>
      </c>
      <c r="F71" s="5">
        <f>STDEVP(F64:F68)</f>
        <v>3.8581861023024788</v>
      </c>
    </row>
    <row r="72" spans="1:9">
      <c r="B72" s="188"/>
      <c r="C72" s="5"/>
      <c r="D72" s="5"/>
    </row>
    <row r="73" spans="1:9">
      <c r="A73" s="2" t="s">
        <v>935</v>
      </c>
      <c r="H73" s="2" t="s">
        <v>934</v>
      </c>
    </row>
    <row r="74" spans="1:9">
      <c r="C74" s="5" t="s">
        <v>1</v>
      </c>
      <c r="D74" s="5">
        <v>1</v>
      </c>
      <c r="H74" s="5" t="s">
        <v>1</v>
      </c>
      <c r="I74" s="5">
        <v>0</v>
      </c>
    </row>
    <row r="75" spans="1:9">
      <c r="C75" s="5" t="s">
        <v>2</v>
      </c>
      <c r="D75" s="5">
        <v>1</v>
      </c>
      <c r="H75" s="5" t="s">
        <v>2</v>
      </c>
      <c r="I75" s="5">
        <v>1</v>
      </c>
    </row>
    <row r="76" spans="1:9">
      <c r="C76" s="5" t="s">
        <v>325</v>
      </c>
      <c r="D76" s="5">
        <v>1</v>
      </c>
      <c r="H76" s="5" t="s">
        <v>325</v>
      </c>
      <c r="I76" s="5">
        <v>1</v>
      </c>
    </row>
    <row r="78" spans="1:9">
      <c r="C78" s="11" t="s">
        <v>728</v>
      </c>
      <c r="D78"/>
      <c r="H78" s="11" t="s">
        <v>728</v>
      </c>
      <c r="I78"/>
    </row>
    <row r="79" spans="1:9">
      <c r="C79" s="5" t="s">
        <v>1</v>
      </c>
      <c r="D79" s="5">
        <v>1.0000000046649924</v>
      </c>
      <c r="H79" s="5" t="s">
        <v>1</v>
      </c>
      <c r="I79" s="5">
        <v>1.7542543003348658E-12</v>
      </c>
    </row>
    <row r="80" spans="1:9">
      <c r="C80" s="5" t="s">
        <v>2</v>
      </c>
      <c r="D80" s="5">
        <v>0.5812093518917103</v>
      </c>
      <c r="H80" s="5" t="s">
        <v>2</v>
      </c>
      <c r="I80" s="5">
        <v>0.58121131435138318</v>
      </c>
    </row>
    <row r="81" spans="1:10">
      <c r="C81" s="5" t="s">
        <v>325</v>
      </c>
      <c r="D81" s="5">
        <v>2.0237249697245225</v>
      </c>
      <c r="H81" s="5" t="s">
        <v>325</v>
      </c>
      <c r="I81" s="5">
        <v>2.0237265973948144</v>
      </c>
    </row>
    <row r="82" spans="1:10">
      <c r="A82" s="36" t="s">
        <v>42</v>
      </c>
      <c r="B82" s="36" t="s">
        <v>4</v>
      </c>
      <c r="F82" s="36" t="s">
        <v>42</v>
      </c>
      <c r="G82" s="36" t="s">
        <v>4</v>
      </c>
    </row>
    <row r="83" spans="1:10">
      <c r="A83" s="36">
        <v>0</v>
      </c>
      <c r="B83" s="36">
        <v>1</v>
      </c>
      <c r="C83" s="5">
        <v>1.0000000046649924</v>
      </c>
      <c r="D83" s="5">
        <v>4.6649923923780534E-9</v>
      </c>
      <c r="F83" s="36">
        <v>0</v>
      </c>
      <c r="G83" s="36">
        <v>1</v>
      </c>
      <c r="H83" s="5">
        <v>1.7542543003348658E-12</v>
      </c>
      <c r="I83" s="5">
        <v>-0.99999999999824574</v>
      </c>
    </row>
    <row r="84" spans="1:10">
      <c r="A84" s="36">
        <v>1</v>
      </c>
      <c r="B84" s="36">
        <v>0.5</v>
      </c>
      <c r="C84" s="5">
        <v>1.5812093565567027</v>
      </c>
      <c r="D84" s="5">
        <v>1.0812093565567027</v>
      </c>
      <c r="F84" s="36">
        <v>1</v>
      </c>
      <c r="G84" s="36">
        <v>0.5</v>
      </c>
      <c r="H84" s="5">
        <v>0.58121131435313744</v>
      </c>
      <c r="I84" s="5">
        <v>8.1211314353137443E-2</v>
      </c>
    </row>
    <row r="85" spans="1:10">
      <c r="A85" s="36">
        <v>2</v>
      </c>
      <c r="B85" s="36">
        <v>2.5</v>
      </c>
      <c r="C85" s="5">
        <v>3.3633852098634045</v>
      </c>
      <c r="D85" s="5">
        <v>0.8633852098634045</v>
      </c>
      <c r="F85" s="36">
        <v>2</v>
      </c>
      <c r="G85" s="36">
        <v>2.5</v>
      </c>
      <c r="H85" s="5">
        <v>2.3633958516132347</v>
      </c>
      <c r="I85" s="5">
        <v>-0.13660414838676527</v>
      </c>
    </row>
    <row r="86" spans="1:10">
      <c r="A86" s="36">
        <v>3</v>
      </c>
      <c r="B86" s="36">
        <v>5.5</v>
      </c>
      <c r="C86" s="5">
        <v>6.3690171448391819</v>
      </c>
      <c r="D86" s="5">
        <v>0.86901714483918191</v>
      </c>
      <c r="F86" s="36">
        <v>3</v>
      </c>
      <c r="G86" s="36">
        <v>5.5</v>
      </c>
      <c r="H86" s="5">
        <v>5.369044869522952</v>
      </c>
      <c r="I86" s="5">
        <v>-0.13095513047704799</v>
      </c>
    </row>
    <row r="87" spans="1:10">
      <c r="A87" s="36">
        <v>4</v>
      </c>
      <c r="B87" s="36">
        <v>9.4</v>
      </c>
      <c r="C87" s="5">
        <v>10.610288638133907</v>
      </c>
      <c r="D87" s="5">
        <v>1.2102886381339069</v>
      </c>
      <c r="F87" s="36">
        <v>4</v>
      </c>
      <c r="G87" s="36">
        <v>9.4</v>
      </c>
      <c r="H87" s="5">
        <v>9.6103427677570306</v>
      </c>
      <c r="I87" s="5">
        <v>0.2103427677570302</v>
      </c>
    </row>
    <row r="88" spans="1:10">
      <c r="A88" s="36">
        <v>5</v>
      </c>
      <c r="B88" s="36">
        <v>15.2</v>
      </c>
      <c r="C88" s="5">
        <v>16.095783013190989</v>
      </c>
      <c r="D88" s="5">
        <v>0.89578301319098941</v>
      </c>
      <c r="F88" s="36">
        <v>5</v>
      </c>
      <c r="G88" s="36">
        <v>15.2</v>
      </c>
      <c r="H88" s="5">
        <v>15.09587352521854</v>
      </c>
      <c r="I88" s="5">
        <v>-0.10412647478145942</v>
      </c>
    </row>
    <row r="90" spans="1:10">
      <c r="A90" s="5" t="s">
        <v>119</v>
      </c>
      <c r="B90" s="188" t="s">
        <v>989</v>
      </c>
      <c r="C90" s="5"/>
      <c r="D90" s="5">
        <v>0.98393667251683714</v>
      </c>
      <c r="F90" s="5" t="s">
        <v>119</v>
      </c>
      <c r="G90" s="188" t="s">
        <v>989</v>
      </c>
      <c r="H90" s="5"/>
      <c r="I90" s="5">
        <v>-1.6026334307021006E-2</v>
      </c>
    </row>
    <row r="91" spans="1:10">
      <c r="B91" s="188" t="s">
        <v>990</v>
      </c>
      <c r="C91" s="5"/>
      <c r="D91" s="5">
        <v>0.13871366770517191</v>
      </c>
      <c r="G91" s="188" t="s">
        <v>990</v>
      </c>
      <c r="H91" s="5"/>
      <c r="I91" s="5">
        <v>0.138713663981021</v>
      </c>
    </row>
    <row r="93" spans="1:10" ht="16.2">
      <c r="A93" s="189" t="s">
        <v>932</v>
      </c>
      <c r="F93" s="2" t="s">
        <v>936</v>
      </c>
      <c r="J93" s="14" t="s">
        <v>957</v>
      </c>
    </row>
    <row r="94" spans="1:10">
      <c r="A94" s="189" t="s">
        <v>938</v>
      </c>
      <c r="F94" s="2" t="s">
        <v>933</v>
      </c>
    </row>
    <row r="95" spans="1:10">
      <c r="A95" s="2" t="s">
        <v>939</v>
      </c>
      <c r="F95" s="2" t="s">
        <v>940</v>
      </c>
    </row>
    <row r="96" spans="1:10">
      <c r="A96" s="2" t="s">
        <v>961</v>
      </c>
      <c r="F96" s="2" t="s">
        <v>941</v>
      </c>
    </row>
    <row r="98" spans="1:1">
      <c r="A98" s="14" t="s">
        <v>953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FOUTEN</vt:lpstr>
      <vt:lpstr>FVP</vt:lpstr>
      <vt:lpstr>LOG</vt:lpstr>
      <vt:lpstr>STAT</vt:lpstr>
      <vt:lpstr>LRL</vt:lpstr>
      <vt:lpstr>LM</vt:lpstr>
      <vt:lpstr>ITE</vt:lpstr>
      <vt:lpstr>ITE FV</vt:lpstr>
      <vt:lpstr>OPL</vt:lpstr>
      <vt:lpstr>EF</vt:lpstr>
      <vt:lpstr>SITES</vt:lpstr>
    </vt:vector>
  </TitlesOfParts>
  <Company>Prive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Admin</cp:lastModifiedBy>
  <dcterms:created xsi:type="dcterms:W3CDTF">2009-11-23T19:41:08Z</dcterms:created>
  <dcterms:modified xsi:type="dcterms:W3CDTF">2012-06-22T17:48:16Z</dcterms:modified>
</cp:coreProperties>
</file>